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Andre\Desktop\"/>
    </mc:Choice>
  </mc:AlternateContent>
  <xr:revisionPtr revIDLastSave="0" documentId="13_ncr:1_{36EB387D-33B0-40C6-B8CD-9044ABC7EE2D}" xr6:coauthVersionLast="43" xr6:coauthVersionMax="43" xr10:uidLastSave="{00000000-0000-0000-0000-000000000000}"/>
  <bookViews>
    <workbookView xWindow="-110" yWindow="-110" windowWidth="19420" windowHeight="10420" xr2:uid="{990CBCA7-4E93-4285-8FBE-986955D99E9F}"/>
  </bookViews>
  <sheets>
    <sheet name="IPCC equation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37" i="1" l="1"/>
  <c r="J48" i="1"/>
  <c r="K48" i="1"/>
  <c r="AF30" i="1"/>
  <c r="AE24" i="1"/>
  <c r="AD24" i="1"/>
  <c r="AC24" i="1"/>
  <c r="K37" i="1"/>
  <c r="K30" i="1"/>
  <c r="R30" i="1" l="1"/>
  <c r="F30" i="1"/>
  <c r="Y17" i="1"/>
  <c r="V18" i="1"/>
  <c r="W18" i="1"/>
  <c r="L30" i="1" l="1"/>
  <c r="M30" i="1" s="1"/>
  <c r="W17" i="1"/>
  <c r="V17" i="1"/>
  <c r="G18" i="1"/>
  <c r="Y18" i="1" s="1"/>
  <c r="AH30" i="1" l="1"/>
  <c r="U18" i="1"/>
  <c r="U17" i="1"/>
  <c r="T17" i="1"/>
  <c r="AA18" i="1"/>
  <c r="Z18" i="1"/>
  <c r="T18" i="1"/>
  <c r="AA17" i="1"/>
  <c r="Z17" i="1"/>
  <c r="AB37" i="1"/>
  <c r="Z37" i="1"/>
  <c r="Y37" i="1"/>
  <c r="X37" i="1"/>
  <c r="W37" i="1"/>
  <c r="F37" i="1"/>
  <c r="L37" i="1" s="1"/>
  <c r="M37" i="1" s="1"/>
  <c r="O30" i="1"/>
  <c r="O37" i="1" s="1"/>
  <c r="P30" i="1"/>
  <c r="P37" i="1" s="1"/>
  <c r="Q30" i="1"/>
  <c r="Q37" i="1" s="1"/>
  <c r="R37" i="1"/>
  <c r="S30" i="1"/>
  <c r="S37" i="1" s="1"/>
  <c r="T30" i="1"/>
  <c r="T37" i="1" s="1"/>
  <c r="U30" i="1"/>
  <c r="U37" i="1" s="1"/>
  <c r="V30" i="1"/>
  <c r="V37" i="1" s="1"/>
  <c r="N30" i="1"/>
  <c r="N37" i="1" s="1"/>
  <c r="AA37" i="1"/>
  <c r="X12" i="1"/>
  <c r="W12" i="1"/>
  <c r="AB12" i="1" s="1"/>
  <c r="AA12" i="1" s="1"/>
  <c r="AC12" i="1" s="1"/>
  <c r="S12" i="1"/>
  <c r="Q12" i="1"/>
  <c r="R12" i="1" s="1"/>
  <c r="V12" i="1"/>
  <c r="X11" i="1"/>
  <c r="W11" i="1"/>
  <c r="AB11" i="1" s="1"/>
  <c r="AA11" i="1" s="1"/>
  <c r="AC11" i="1" s="1"/>
  <c r="S11" i="1"/>
  <c r="Q11" i="1"/>
  <c r="R11" i="1" s="1"/>
  <c r="V11" i="1"/>
  <c r="X17" i="1" l="1"/>
  <c r="AB17" i="1" s="1"/>
  <c r="AC17" i="1" s="1"/>
  <c r="AD17" i="1" s="1"/>
  <c r="X18" i="1"/>
  <c r="U12" i="1"/>
  <c r="T12" i="1"/>
  <c r="Y12" i="1" s="1"/>
  <c r="Z12" i="1" s="1"/>
  <c r="AD12" i="1" s="1"/>
  <c r="T11" i="1"/>
  <c r="U11" i="1"/>
  <c r="AB18" i="1" l="1"/>
  <c r="AC18" i="1" s="1"/>
  <c r="AD18" i="1" s="1"/>
  <c r="Y11" i="1"/>
  <c r="Z11" i="1" s="1"/>
  <c r="AD11" i="1" s="1"/>
  <c r="AA10" i="1" l="1"/>
  <c r="AC10" i="1" s="1"/>
  <c r="X10" i="1"/>
  <c r="W10" i="1"/>
  <c r="AB10" i="1" s="1"/>
  <c r="Q10" i="1"/>
  <c r="S10" i="1"/>
  <c r="V10" i="1"/>
  <c r="U10" i="1" l="1"/>
  <c r="T10" i="1"/>
  <c r="R10" i="1"/>
  <c r="G43" i="1" l="1"/>
  <c r="Y10" i="1"/>
  <c r="Z10" i="1" l="1"/>
  <c r="AD10" i="1" s="1"/>
  <c r="I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AWilkes</author>
  </authors>
  <commentList>
    <comment ref="M9" authorId="0" shapeId="0" xr:uid="{E1A1DA30-BBDF-4338-B15E-E60BDC6F4647}">
      <text>
        <r>
          <rPr>
            <b/>
            <sz val="9"/>
            <color indexed="81"/>
            <rFont val="Tahoma"/>
            <family val="2"/>
          </rPr>
          <t>AWilkes:</t>
        </r>
        <r>
          <rPr>
            <sz val="9"/>
            <color indexed="81"/>
            <rFont val="Tahoma"/>
            <family val="2"/>
          </rPr>
          <t xml:space="preserve">
IPCC (2006) Vol 4 Ch 10 Table 10.4</t>
        </r>
      </text>
    </comment>
    <comment ref="N9" authorId="0" shapeId="0" xr:uid="{C9BAEE21-87D5-4C49-A50F-05BDE9F76E83}">
      <text>
        <r>
          <rPr>
            <b/>
            <sz val="9"/>
            <color indexed="81"/>
            <rFont val="Tahoma"/>
            <family val="2"/>
          </rPr>
          <t>AWilkes:</t>
        </r>
        <r>
          <rPr>
            <sz val="9"/>
            <color indexed="81"/>
            <rFont val="Tahoma"/>
            <family val="2"/>
          </rPr>
          <t xml:space="preserve">
IPCC (2006) Vol 4 Ch 10 Table 10.5</t>
        </r>
      </text>
    </comment>
    <comment ref="O9" authorId="0" shapeId="0" xr:uid="{E26B29DA-6301-415C-BFF0-52197F4BD1EF}">
      <text>
        <r>
          <rPr>
            <b/>
            <sz val="9"/>
            <color indexed="81"/>
            <rFont val="Tahoma"/>
            <family val="2"/>
          </rPr>
          <t>AWilkes:</t>
        </r>
        <r>
          <rPr>
            <sz val="9"/>
            <color indexed="81"/>
            <rFont val="Tahoma"/>
            <family val="2"/>
          </rPr>
          <t xml:space="preserve">
IPCC (2006) Vol 4 Ch 10 Table 10.7</t>
        </r>
      </text>
    </comment>
    <comment ref="P9" authorId="0" shapeId="0" xr:uid="{BAB7AF51-AAD5-44EB-A3C0-431641B002F0}">
      <text>
        <r>
          <rPr>
            <b/>
            <sz val="9"/>
            <color indexed="81"/>
            <rFont val="Tahoma"/>
            <family val="2"/>
          </rPr>
          <t>AWilkes:</t>
        </r>
        <r>
          <rPr>
            <sz val="9"/>
            <color indexed="81"/>
            <rFont val="Tahoma"/>
            <family val="2"/>
          </rPr>
          <t xml:space="preserve">
IPCC (2006) Vol 4 Ch 10 Equation 10.6</t>
        </r>
      </text>
    </comment>
    <comment ref="K22" authorId="0" shapeId="0" xr:uid="{AC5526A0-8936-4593-9A52-96FBCE9893FA}">
      <text>
        <r>
          <rPr>
            <b/>
            <sz val="9"/>
            <color indexed="81"/>
            <rFont val="Tahoma"/>
            <family val="2"/>
          </rPr>
          <t>AWilkes:</t>
        </r>
        <r>
          <rPr>
            <sz val="9"/>
            <color indexed="81"/>
            <rFont val="Tahoma"/>
            <family val="2"/>
          </rPr>
          <t xml:space="preserve">
country-specific activity data or IPCC (2006) Vol 4 Ch 10 Annex 10A.2</t>
        </r>
      </text>
    </comment>
    <comment ref="T22" authorId="0" shapeId="0" xr:uid="{DC2DB939-0466-45E8-9674-10DD6A0F767A}">
      <text>
        <r>
          <rPr>
            <b/>
            <sz val="9"/>
            <color indexed="81"/>
            <rFont val="Tahoma"/>
            <family val="2"/>
          </rPr>
          <t>AWilkes:</t>
        </r>
        <r>
          <rPr>
            <sz val="9"/>
            <color indexed="81"/>
            <rFont val="Tahoma"/>
            <family val="2"/>
          </rPr>
          <t xml:space="preserve">
IPCC (2006) Vol 4 Ch 10 Table 10.17</t>
        </r>
      </text>
    </comment>
    <comment ref="D23" authorId="0" shapeId="0" xr:uid="{183CAEB1-40C3-4BE9-8FC3-39B43EB6D806}">
      <text>
        <r>
          <rPr>
            <b/>
            <sz val="9"/>
            <color indexed="81"/>
            <rFont val="Tahoma"/>
            <family val="2"/>
          </rPr>
          <t>AWilkes:</t>
        </r>
        <r>
          <rPr>
            <sz val="9"/>
            <color indexed="81"/>
            <rFont val="Tahoma"/>
            <family val="2"/>
          </rPr>
          <t xml:space="preserve">
This should be consistent with the value used for enteric fermentation emissions</t>
        </r>
      </text>
    </comment>
    <comment ref="E23" authorId="0" shapeId="0" xr:uid="{ADC2BAA9-6FA7-4E87-8952-E208BABC622B}">
      <text>
        <r>
          <rPr>
            <b/>
            <sz val="9"/>
            <color indexed="81"/>
            <rFont val="Tahoma"/>
            <family val="2"/>
          </rPr>
          <t>AWilkes:</t>
        </r>
        <r>
          <rPr>
            <sz val="9"/>
            <color indexed="81"/>
            <rFont val="Tahoma"/>
            <family val="2"/>
          </rPr>
          <t xml:space="preserve">
This should be consistent with the value used for enteric fermentation emissions</t>
        </r>
      </text>
    </comment>
    <comment ref="F23" authorId="0" shapeId="0" xr:uid="{5FF250C0-DB7E-4870-84C9-4A5E5B3D2DA8}">
      <text>
        <r>
          <rPr>
            <b/>
            <sz val="9"/>
            <color indexed="81"/>
            <rFont val="Tahoma"/>
            <family val="2"/>
          </rPr>
          <t>AWilkes:</t>
        </r>
        <r>
          <rPr>
            <sz val="9"/>
            <color indexed="81"/>
            <rFont val="Tahoma"/>
            <family val="2"/>
          </rPr>
          <t xml:space="preserve">
This should be consistent with the value used for enteric fermentation emissions</t>
        </r>
      </text>
    </comment>
    <comment ref="G23" authorId="0" shapeId="0" xr:uid="{7337FEC6-E13D-43D5-824F-3A933163BB8A}">
      <text>
        <r>
          <rPr>
            <b/>
            <sz val="9"/>
            <color indexed="81"/>
            <rFont val="Tahoma"/>
            <family val="2"/>
          </rPr>
          <t>AWilkes:</t>
        </r>
        <r>
          <rPr>
            <sz val="9"/>
            <color indexed="81"/>
            <rFont val="Tahoma"/>
            <family val="2"/>
          </rPr>
          <t xml:space="preserve">
IPCC (2006) Vol 4 Ch 10 Equation 10.24</t>
        </r>
      </text>
    </comment>
    <comment ref="H23" authorId="0" shapeId="0" xr:uid="{34693753-1FE1-4BD2-BB45-2AA696472131}">
      <text>
        <r>
          <rPr>
            <b/>
            <sz val="9"/>
            <color indexed="81"/>
            <rFont val="Tahoma"/>
            <family val="2"/>
          </rPr>
          <t>AWilkes:</t>
        </r>
        <r>
          <rPr>
            <sz val="9"/>
            <color indexed="81"/>
            <rFont val="Tahoma"/>
            <family val="2"/>
          </rPr>
          <t xml:space="preserve">
IPCC (2006) Vol 4 Ch 10 Equation 10.24</t>
        </r>
      </text>
    </comment>
    <comment ref="J23" authorId="0" shapeId="0" xr:uid="{0A2B28C6-A72D-4736-B637-58D062433745}">
      <text>
        <r>
          <rPr>
            <b/>
            <sz val="9"/>
            <color indexed="81"/>
            <rFont val="Tahoma"/>
            <family val="2"/>
          </rPr>
          <t>AWilkes:</t>
        </r>
        <r>
          <rPr>
            <sz val="9"/>
            <color indexed="81"/>
            <rFont val="Tahoma"/>
            <family val="2"/>
          </rPr>
          <t xml:space="preserve">
IPCC (2006) Vol 4 Ch 10 Annex 10A.2</t>
        </r>
      </text>
    </comment>
    <comment ref="N28" authorId="0" shapeId="0" xr:uid="{C6CC7AE7-562D-4299-BE52-FEFC3C7D0603}">
      <text>
        <r>
          <rPr>
            <b/>
            <sz val="9"/>
            <color indexed="81"/>
            <rFont val="Tahoma"/>
            <family val="2"/>
          </rPr>
          <t>AWilkes:</t>
        </r>
        <r>
          <rPr>
            <sz val="9"/>
            <color indexed="81"/>
            <rFont val="Tahoma"/>
            <family val="2"/>
          </rPr>
          <t xml:space="preserve">
country-specific activity data or IPCC (2006) Vol 4 Ch 10 Annex 10A.2</t>
        </r>
      </text>
    </comment>
    <comment ref="W28" authorId="0" shapeId="0" xr:uid="{F3BB221B-9265-47E4-BE80-87AF471DE206}">
      <text>
        <r>
          <rPr>
            <b/>
            <sz val="9"/>
            <color indexed="81"/>
            <rFont val="Tahoma"/>
            <family val="2"/>
          </rPr>
          <t>AWilkes:</t>
        </r>
        <r>
          <rPr>
            <sz val="9"/>
            <color indexed="81"/>
            <rFont val="Tahoma"/>
            <family val="2"/>
          </rPr>
          <t xml:space="preserve">
IPCC (2006) Vol 4 Ch 10 Table 10.21</t>
        </r>
      </text>
    </comment>
    <comment ref="D29" authorId="0" shapeId="0" xr:uid="{E174C92C-6013-4AD8-B72B-48D15E493830}">
      <text>
        <r>
          <rPr>
            <b/>
            <sz val="9"/>
            <color indexed="81"/>
            <rFont val="Tahoma"/>
            <family val="2"/>
          </rPr>
          <t>AWilkes:</t>
        </r>
        <r>
          <rPr>
            <sz val="9"/>
            <color indexed="81"/>
            <rFont val="Tahoma"/>
            <family val="2"/>
          </rPr>
          <t xml:space="preserve">
This should be consistent with the value used for enteric fermentation emissions</t>
        </r>
      </text>
    </comment>
    <comment ref="G29" authorId="0" shapeId="0" xr:uid="{B85559B2-BC11-4F70-B349-C071B5C8CE54}">
      <text>
        <r>
          <rPr>
            <b/>
            <sz val="9"/>
            <color indexed="81"/>
            <rFont val="Tahoma"/>
            <family val="2"/>
          </rPr>
          <t>AWilkes:</t>
        </r>
        <r>
          <rPr>
            <sz val="9"/>
            <color indexed="81"/>
            <rFont val="Tahoma"/>
            <family val="2"/>
          </rPr>
          <t xml:space="preserve">
This should be consistent with the value used for enteric fermentation emissions</t>
        </r>
      </text>
    </comment>
    <comment ref="I29" authorId="0" shapeId="0" xr:uid="{983367FE-746C-4DAC-BFED-A99CD19ECBFB}">
      <text>
        <r>
          <rPr>
            <b/>
            <sz val="9"/>
            <color indexed="81"/>
            <rFont val="Tahoma"/>
            <family val="2"/>
          </rPr>
          <t>AWilkes:</t>
        </r>
        <r>
          <rPr>
            <sz val="9"/>
            <color indexed="81"/>
            <rFont val="Tahoma"/>
            <family val="2"/>
          </rPr>
          <t xml:space="preserve">
This should be consistent with the value used for enteric fermentation emissions. If WG=0, then edit cell K30 to remove the part of the equation that calculates protein content of weight gain, otherwise the template will give a #DIV/0! return</t>
        </r>
      </text>
    </comment>
    <comment ref="J29" authorId="0" shapeId="0" xr:uid="{D2538BC4-0E2E-4A7A-AFF1-61A86F1772E6}">
      <text>
        <r>
          <rPr>
            <b/>
            <sz val="9"/>
            <color indexed="81"/>
            <rFont val="Tahoma"/>
            <family val="2"/>
          </rPr>
          <t>AWilkes:</t>
        </r>
        <r>
          <rPr>
            <sz val="9"/>
            <color indexed="81"/>
            <rFont val="Tahoma"/>
            <family val="2"/>
          </rPr>
          <t xml:space="preserve">
This should be consistent with the value calculated for enteric fermentation emissions</t>
        </r>
      </text>
    </comment>
    <comment ref="AD29" authorId="0" shapeId="0" xr:uid="{D96D9BB0-027E-4F10-BEFE-36802C9102B9}">
      <text>
        <r>
          <rPr>
            <b/>
            <sz val="9"/>
            <color indexed="81"/>
            <rFont val="Tahoma"/>
            <family val="2"/>
          </rPr>
          <t>AWilkes:</t>
        </r>
        <r>
          <rPr>
            <sz val="9"/>
            <color indexed="81"/>
            <rFont val="Tahoma"/>
            <family val="2"/>
          </rPr>
          <t xml:space="preserve">
Emissions from dung burning are reported under energy, not livestock. Therefore, if burning is identifed as a MMS, the fraction of dung managed by burning is retained for completeness, but the value of theEF3</t>
        </r>
      </text>
    </comment>
    <comment ref="AF29" authorId="0" shapeId="0" xr:uid="{13FBCADF-9774-4A44-AA19-AA4879B89BE3}">
      <text>
        <r>
          <rPr>
            <b/>
            <sz val="9"/>
            <color indexed="81"/>
            <rFont val="Tahoma"/>
            <family val="2"/>
          </rPr>
          <t>AWilkes:</t>
        </r>
        <r>
          <rPr>
            <sz val="9"/>
            <color indexed="81"/>
            <rFont val="Tahoma"/>
            <family val="2"/>
          </rPr>
          <t xml:space="preserve">
Note that the fraction deposited on pasture is not included in calculation of the EF</t>
        </r>
      </text>
    </comment>
    <comment ref="AA30" authorId="0" shapeId="0" xr:uid="{36D18E91-096F-4B68-ADD6-DA89337EDAAA}">
      <text>
        <r>
          <rPr>
            <b/>
            <sz val="9"/>
            <color indexed="81"/>
            <rFont val="Tahoma"/>
            <family val="2"/>
          </rPr>
          <t>AWilkes:</t>
        </r>
        <r>
          <rPr>
            <sz val="9"/>
            <color indexed="81"/>
            <rFont val="Tahoma"/>
            <family val="2"/>
          </rPr>
          <t xml:space="preserve">
IPCC (2006) Vol 4 Ch 11 Table 11.1</t>
        </r>
      </text>
    </comment>
    <comment ref="N35" authorId="0" shapeId="0" xr:uid="{DCC0144D-2B03-41F1-BD03-30BCF706835A}">
      <text>
        <r>
          <rPr>
            <b/>
            <sz val="9"/>
            <color indexed="81"/>
            <rFont val="Tahoma"/>
            <family val="2"/>
          </rPr>
          <t>AWilkes:</t>
        </r>
        <r>
          <rPr>
            <sz val="9"/>
            <color indexed="81"/>
            <rFont val="Tahoma"/>
            <family val="2"/>
          </rPr>
          <t xml:space="preserve">
country-specific activity data or IPCC (2006) Vol 4 Ch 10 Annex 10A.2</t>
        </r>
      </text>
    </comment>
    <comment ref="W35" authorId="0" shapeId="0" xr:uid="{84326553-98E8-443D-89E9-43BA2607AD32}">
      <text>
        <r>
          <rPr>
            <b/>
            <sz val="9"/>
            <color indexed="81"/>
            <rFont val="Tahoma"/>
            <family val="2"/>
          </rPr>
          <t>AWilkes:</t>
        </r>
        <r>
          <rPr>
            <sz val="9"/>
            <color indexed="81"/>
            <rFont val="Tahoma"/>
            <family val="2"/>
          </rPr>
          <t xml:space="preserve">
IPCC (2006) Vol 4 Ch 10 Table 10.22</t>
        </r>
      </text>
    </comment>
    <comment ref="G36" authorId="0" shapeId="0" xr:uid="{6461C8F6-DBA3-44F2-8B5F-C64FD6DF09B7}">
      <text>
        <r>
          <rPr>
            <b/>
            <sz val="9"/>
            <color indexed="81"/>
            <rFont val="Tahoma"/>
            <family val="2"/>
          </rPr>
          <t>AWilkes:</t>
        </r>
        <r>
          <rPr>
            <sz val="9"/>
            <color indexed="81"/>
            <rFont val="Tahoma"/>
            <family val="2"/>
          </rPr>
          <t xml:space="preserve">
This should be consistent with the value used for enteric fermentation emissions</t>
        </r>
      </text>
    </comment>
    <comment ref="I36" authorId="0" shapeId="0" xr:uid="{C7B657EC-197C-4663-90B4-9F201A013E5E}">
      <text>
        <r>
          <rPr>
            <b/>
            <sz val="9"/>
            <color indexed="81"/>
            <rFont val="Tahoma"/>
            <family val="2"/>
          </rPr>
          <t>AWilkes:</t>
        </r>
        <r>
          <rPr>
            <sz val="9"/>
            <color indexed="81"/>
            <rFont val="Tahoma"/>
            <family val="2"/>
          </rPr>
          <t xml:space="preserve">
This should be consistent with the value used for enteric fermentation emissions. If WG=0, then edit cell K30 to remove the part of the equation that calculates protein content of weight gain, otherwise the template will give a #DIV/0! return</t>
        </r>
      </text>
    </comment>
    <comment ref="J36" authorId="0" shapeId="0" xr:uid="{E03ACBBF-4062-41FC-AB80-D252D83FCD6A}">
      <text>
        <r>
          <rPr>
            <b/>
            <sz val="9"/>
            <color indexed="81"/>
            <rFont val="Tahoma"/>
            <family val="2"/>
          </rPr>
          <t>AWilkes:</t>
        </r>
        <r>
          <rPr>
            <sz val="9"/>
            <color indexed="81"/>
            <rFont val="Tahoma"/>
            <family val="2"/>
          </rPr>
          <t xml:space="preserve">
This should be consistent with the value calculated for enteric fermentation emissions</t>
        </r>
      </text>
    </comment>
    <comment ref="AF36" authorId="0" shapeId="0" xr:uid="{AF202725-A886-4A5C-86CF-6E08107A1943}">
      <text>
        <r>
          <rPr>
            <b/>
            <sz val="9"/>
            <color indexed="81"/>
            <rFont val="Tahoma"/>
            <family val="2"/>
          </rPr>
          <t>AWilkes:</t>
        </r>
        <r>
          <rPr>
            <sz val="9"/>
            <color indexed="81"/>
            <rFont val="Tahoma"/>
            <family val="2"/>
          </rPr>
          <t xml:space="preserve">
IPCC (2006) Vol 4 Ch 11 Table 11.3</t>
        </r>
      </text>
    </comment>
    <comment ref="AA37" authorId="0" shapeId="0" xr:uid="{888E6674-0F18-4880-9E9D-EFA257626E21}">
      <text>
        <r>
          <rPr>
            <b/>
            <sz val="9"/>
            <color indexed="81"/>
            <rFont val="Tahoma"/>
            <family val="2"/>
          </rPr>
          <t>AWilkes:</t>
        </r>
        <r>
          <rPr>
            <sz val="9"/>
            <color indexed="81"/>
            <rFont val="Tahoma"/>
            <family val="2"/>
          </rPr>
          <t xml:space="preserve">
IPCC (2006) Vol 4 Ch 11 Table 11.3</t>
        </r>
      </text>
    </comment>
    <comment ref="E42" authorId="0" shapeId="0" xr:uid="{30074F5D-25AC-43CE-B45A-E0051FAB3E01}">
      <text>
        <r>
          <rPr>
            <b/>
            <sz val="9"/>
            <color indexed="81"/>
            <rFont val="Tahoma"/>
            <family val="2"/>
          </rPr>
          <t>AWilkes:</t>
        </r>
        <r>
          <rPr>
            <sz val="9"/>
            <color indexed="81"/>
            <rFont val="Tahoma"/>
            <family val="2"/>
          </rPr>
          <t xml:space="preserve">
This should be consistent with the % of manure deposited on pasture used in estimation of emissions from manure management</t>
        </r>
      </text>
    </comment>
    <comment ref="F42" authorId="0" shapeId="0" xr:uid="{31F26540-B7BD-472C-8C8B-0A938DF261A6}">
      <text>
        <r>
          <rPr>
            <b/>
            <sz val="9"/>
            <color indexed="81"/>
            <rFont val="Tahoma"/>
            <family val="2"/>
          </rPr>
          <t>AWilkes:</t>
        </r>
        <r>
          <rPr>
            <sz val="9"/>
            <color indexed="81"/>
            <rFont val="Tahoma"/>
            <family val="2"/>
          </rPr>
          <t xml:space="preserve">
IPCC (2006) Vol 4 Ch 11 Table 11.1</t>
        </r>
      </text>
    </comment>
    <comment ref="E47" authorId="0" shapeId="0" xr:uid="{913B8A5E-8038-4CE3-8824-1C6F87DE5190}">
      <text>
        <r>
          <rPr>
            <b/>
            <sz val="9"/>
            <color indexed="81"/>
            <rFont val="Tahoma"/>
            <family val="2"/>
          </rPr>
          <t>AWilkes:</t>
        </r>
        <r>
          <rPr>
            <sz val="9"/>
            <color indexed="81"/>
            <rFont val="Tahoma"/>
            <family val="2"/>
          </rPr>
          <t xml:space="preserve">
This should be consistent with the % of manure deposited on pasture used in estimation of emissions from manure management</t>
        </r>
      </text>
    </comment>
    <comment ref="F47" authorId="0" shapeId="0" xr:uid="{ADA22A93-6C17-4253-B7BF-0D26C1028E2D}">
      <text>
        <r>
          <rPr>
            <b/>
            <sz val="9"/>
            <color indexed="81"/>
            <rFont val="Tahoma"/>
            <family val="2"/>
          </rPr>
          <t>AWilkes:</t>
        </r>
        <r>
          <rPr>
            <sz val="9"/>
            <color indexed="81"/>
            <rFont val="Tahoma"/>
            <family val="2"/>
          </rPr>
          <t xml:space="preserve">
IPCC (2006) Vol 4 Ch 11 Table 11.3</t>
        </r>
      </text>
    </comment>
    <comment ref="G47" authorId="0" shapeId="0" xr:uid="{F5519135-745D-49E2-A180-4EEFA9FE5CC1}">
      <text>
        <r>
          <rPr>
            <b/>
            <sz val="9"/>
            <color indexed="81"/>
            <rFont val="Tahoma"/>
            <family val="2"/>
          </rPr>
          <t>AWilkes:</t>
        </r>
        <r>
          <rPr>
            <sz val="9"/>
            <color indexed="81"/>
            <rFont val="Tahoma"/>
            <family val="2"/>
          </rPr>
          <t xml:space="preserve">
IPCC (2006) Vol 4 Ch 11 Table 11.3</t>
        </r>
      </text>
    </comment>
    <comment ref="H47" authorId="0" shapeId="0" xr:uid="{2F536D42-6C6B-4B4B-BE14-13ADCD775317}">
      <text>
        <r>
          <rPr>
            <b/>
            <sz val="9"/>
            <color indexed="81"/>
            <rFont val="Tahoma"/>
            <family val="2"/>
          </rPr>
          <t>AWilkes:</t>
        </r>
        <r>
          <rPr>
            <sz val="9"/>
            <color indexed="81"/>
            <rFont val="Tahoma"/>
            <family val="2"/>
          </rPr>
          <t xml:space="preserve">
IPCC (2006) Vol 4 Ch 11 Table 11.3</t>
        </r>
      </text>
    </comment>
    <comment ref="I47" authorId="0" shapeId="0" xr:uid="{8ABA6DCF-747A-434D-B37D-9EE4304A7E46}">
      <text>
        <r>
          <rPr>
            <b/>
            <sz val="9"/>
            <color indexed="81"/>
            <rFont val="Tahoma"/>
            <family val="2"/>
          </rPr>
          <t>AWilkes:</t>
        </r>
        <r>
          <rPr>
            <sz val="9"/>
            <color indexed="81"/>
            <rFont val="Tahoma"/>
            <family val="2"/>
          </rPr>
          <t xml:space="preserve">
IPCC (2006) Vol 4 Ch 11 Table 11.3</t>
        </r>
      </text>
    </comment>
  </commentList>
</comments>
</file>

<file path=xl/sharedStrings.xml><?xml version="1.0" encoding="utf-8"?>
<sst xmlns="http://schemas.openxmlformats.org/spreadsheetml/2006/main" count="210" uniqueCount="108">
  <si>
    <t>population</t>
  </si>
  <si>
    <t>Live weight (kg)</t>
  </si>
  <si>
    <t>weight gain per day (kg)</t>
  </si>
  <si>
    <t>Mature weight (kg)</t>
  </si>
  <si>
    <t>kg milk per cow per day (kg)</t>
  </si>
  <si>
    <t>fat content of milk (%)</t>
  </si>
  <si>
    <t>work (hours)</t>
  </si>
  <si>
    <t>proportion of cows pregnant</t>
  </si>
  <si>
    <t>DE%</t>
  </si>
  <si>
    <t>Ym (%)</t>
  </si>
  <si>
    <t>Cfi</t>
  </si>
  <si>
    <t>Ca</t>
  </si>
  <si>
    <t>Cp</t>
  </si>
  <si>
    <t>C</t>
  </si>
  <si>
    <t>NEm</t>
  </si>
  <si>
    <t>NEa</t>
  </si>
  <si>
    <t>NEl</t>
  </si>
  <si>
    <t>NEwork</t>
  </si>
  <si>
    <t>NEp</t>
  </si>
  <si>
    <t>NEg</t>
  </si>
  <si>
    <t>REM</t>
  </si>
  <si>
    <t>REG</t>
  </si>
  <si>
    <r>
      <t>GE (MJ day</t>
    </r>
    <r>
      <rPr>
        <vertAlign val="superscript"/>
        <sz val="10"/>
        <rFont val="Calibri"/>
        <family val="2"/>
        <scheme val="minor"/>
      </rPr>
      <t>-1</t>
    </r>
    <r>
      <rPr>
        <sz val="10"/>
        <rFont val="Calibri"/>
        <family val="2"/>
        <scheme val="minor"/>
      </rPr>
      <t>)</t>
    </r>
  </si>
  <si>
    <t>kg DMI per day</t>
  </si>
  <si>
    <t>Nma</t>
  </si>
  <si>
    <t>DMI as % of live weight</t>
  </si>
  <si>
    <t>Year</t>
  </si>
  <si>
    <t>Population (head)</t>
  </si>
  <si>
    <t>Cattle sub-category</t>
  </si>
  <si>
    <r>
      <t>EF (kg CH</t>
    </r>
    <r>
      <rPr>
        <vertAlign val="subscript"/>
        <sz val="10"/>
        <rFont val="Calibri"/>
        <family val="2"/>
        <scheme val="minor"/>
      </rPr>
      <t>4</t>
    </r>
    <r>
      <rPr>
        <sz val="10"/>
        <rFont val="Calibri"/>
        <family val="2"/>
        <scheme val="minor"/>
      </rPr>
      <t xml:space="preserve"> head</t>
    </r>
    <r>
      <rPr>
        <vertAlign val="superscript"/>
        <sz val="10"/>
        <rFont val="Calibri"/>
        <family val="2"/>
        <scheme val="minor"/>
      </rPr>
      <t>-1</t>
    </r>
    <r>
      <rPr>
        <sz val="10"/>
        <rFont val="Calibri"/>
        <family val="2"/>
        <scheme val="minor"/>
      </rPr>
      <t xml:space="preserve"> year</t>
    </r>
    <r>
      <rPr>
        <vertAlign val="superscript"/>
        <sz val="10"/>
        <rFont val="Calibri"/>
        <family val="2"/>
        <scheme val="minor"/>
      </rPr>
      <t>-1</t>
    </r>
    <r>
      <rPr>
        <sz val="10"/>
        <rFont val="Calibri"/>
        <family val="2"/>
        <scheme val="minor"/>
      </rPr>
      <t>)</t>
    </r>
  </si>
  <si>
    <t>%DE</t>
  </si>
  <si>
    <t>MCF (%)</t>
  </si>
  <si>
    <t>Lagoon</t>
  </si>
  <si>
    <t>Liquid/slurry</t>
  </si>
  <si>
    <t>Solid storage</t>
  </si>
  <si>
    <t>Dry lot</t>
  </si>
  <si>
    <t>Pasture/range/paddock</t>
  </si>
  <si>
    <t>Daily spread</t>
  </si>
  <si>
    <t>Digester</t>
  </si>
  <si>
    <t>Burned for fuel</t>
  </si>
  <si>
    <t>Other</t>
  </si>
  <si>
    <r>
      <t>VS (kg DM animal</t>
    </r>
    <r>
      <rPr>
        <vertAlign val="superscript"/>
        <sz val="10"/>
        <color theme="1"/>
        <rFont val="Calibri"/>
        <family val="2"/>
        <scheme val="minor"/>
      </rPr>
      <t>-1</t>
    </r>
    <r>
      <rPr>
        <sz val="10"/>
        <color theme="1"/>
        <rFont val="Calibri"/>
        <family val="2"/>
        <scheme val="minor"/>
      </rPr>
      <t xml:space="preserve"> day</t>
    </r>
    <r>
      <rPr>
        <vertAlign val="superscript"/>
        <sz val="10"/>
        <color theme="1"/>
        <rFont val="Calibri"/>
        <family val="2"/>
        <scheme val="minor"/>
      </rPr>
      <t>-1)</t>
    </r>
  </si>
  <si>
    <r>
      <t>Bo (kgCH</t>
    </r>
    <r>
      <rPr>
        <vertAlign val="subscript"/>
        <sz val="10"/>
        <color theme="1"/>
        <rFont val="Calibri"/>
        <family val="2"/>
        <scheme val="minor"/>
      </rPr>
      <t>4</t>
    </r>
    <r>
      <rPr>
        <sz val="10"/>
        <color theme="1"/>
        <rFont val="Calibri"/>
        <family val="2"/>
        <scheme val="minor"/>
      </rPr>
      <t xml:space="preserve"> per kg VS)</t>
    </r>
  </si>
  <si>
    <r>
      <t>EF (CH</t>
    </r>
    <r>
      <rPr>
        <vertAlign val="subscript"/>
        <sz val="10"/>
        <color theme="1"/>
        <rFont val="Calibri"/>
        <family val="2"/>
        <scheme val="minor"/>
      </rPr>
      <t>4</t>
    </r>
    <r>
      <rPr>
        <sz val="10"/>
        <color theme="1"/>
        <rFont val="Calibri"/>
        <family val="2"/>
        <scheme val="minor"/>
      </rPr>
      <t xml:space="preserve"> head</t>
    </r>
    <r>
      <rPr>
        <vertAlign val="superscript"/>
        <sz val="10"/>
        <color theme="1"/>
        <rFont val="Calibri"/>
        <family val="2"/>
        <scheme val="minor"/>
      </rPr>
      <t>-1</t>
    </r>
    <r>
      <rPr>
        <sz val="10"/>
        <color theme="1"/>
        <rFont val="Calibri"/>
        <family val="2"/>
        <scheme val="minor"/>
      </rPr>
      <t xml:space="preserve"> year</t>
    </r>
    <r>
      <rPr>
        <vertAlign val="superscript"/>
        <sz val="10"/>
        <color theme="1"/>
        <rFont val="Calibri"/>
        <family val="2"/>
        <scheme val="minor"/>
      </rPr>
      <t>-1</t>
    </r>
    <r>
      <rPr>
        <sz val="10"/>
        <color theme="1"/>
        <rFont val="Calibri"/>
        <family val="2"/>
        <scheme val="minor"/>
      </rPr>
      <t>)</t>
    </r>
  </si>
  <si>
    <t>CP% in diet</t>
  </si>
  <si>
    <t>N_intake</t>
  </si>
  <si>
    <t>Fraction of manure per MMS</t>
  </si>
  <si>
    <t>FRACgas/100</t>
  </si>
  <si>
    <t>FRACgasm</t>
  </si>
  <si>
    <t>Fracleach/100</t>
  </si>
  <si>
    <t>Templates for calculation of livestock emissions</t>
  </si>
  <si>
    <t>1. Enteric fermentation</t>
  </si>
  <si>
    <t>1.a) Enteric fermentation from cattle</t>
  </si>
  <si>
    <t>1.b) Enteric fermentation from sheep</t>
  </si>
  <si>
    <r>
      <t>Total enteric fermentation CH</t>
    </r>
    <r>
      <rPr>
        <vertAlign val="subscript"/>
        <sz val="10"/>
        <rFont val="Calibri"/>
        <family val="2"/>
        <scheme val="minor"/>
      </rPr>
      <t>4</t>
    </r>
    <r>
      <rPr>
        <sz val="10"/>
        <rFont val="Calibri"/>
        <family val="2"/>
        <scheme val="minor"/>
      </rPr>
      <t xml:space="preserve"> (kg) per sub-category</t>
    </r>
  </si>
  <si>
    <t>Sheep sub-category</t>
  </si>
  <si>
    <t>breeding female</t>
  </si>
  <si>
    <t>lamb</t>
  </si>
  <si>
    <t>coefficient a for growth</t>
  </si>
  <si>
    <t>coefficient b for growth</t>
  </si>
  <si>
    <t>WG lamb (kg)</t>
  </si>
  <si>
    <r>
      <t>BW</t>
    </r>
    <r>
      <rPr>
        <vertAlign val="subscript"/>
        <sz val="10"/>
        <rFont val="Calibri"/>
        <family val="2"/>
        <scheme val="minor"/>
      </rPr>
      <t>i</t>
    </r>
    <r>
      <rPr>
        <sz val="10"/>
        <rFont val="Calibri"/>
        <family val="2"/>
        <scheme val="minor"/>
      </rPr>
      <t xml:space="preserve"> (kg)</t>
    </r>
  </si>
  <si>
    <r>
      <t>BW</t>
    </r>
    <r>
      <rPr>
        <vertAlign val="subscript"/>
        <sz val="10"/>
        <rFont val="Calibri"/>
        <family val="2"/>
        <scheme val="minor"/>
      </rPr>
      <t>f</t>
    </r>
    <r>
      <rPr>
        <sz val="10"/>
        <rFont val="Calibri"/>
        <family val="2"/>
        <scheme val="minor"/>
      </rPr>
      <t xml:space="preserve"> (kg)</t>
    </r>
  </si>
  <si>
    <r>
      <t>Energy value of milk (MJ kg</t>
    </r>
    <r>
      <rPr>
        <vertAlign val="superscript"/>
        <sz val="10"/>
        <rFont val="Calibri"/>
        <family val="2"/>
        <scheme val="minor"/>
      </rPr>
      <t>-1</t>
    </r>
    <r>
      <rPr>
        <sz val="10"/>
        <rFont val="Calibri"/>
        <family val="2"/>
        <scheme val="minor"/>
      </rPr>
      <t>)</t>
    </r>
  </si>
  <si>
    <r>
      <t>EV wool (MJ kg</t>
    </r>
    <r>
      <rPr>
        <vertAlign val="superscript"/>
        <sz val="10"/>
        <rFont val="Calibri"/>
        <family val="2"/>
        <scheme val="minor"/>
      </rPr>
      <t>-1</t>
    </r>
    <r>
      <rPr>
        <sz val="10"/>
        <rFont val="Calibri"/>
        <family val="2"/>
        <scheme val="minor"/>
      </rPr>
      <t>)</t>
    </r>
  </si>
  <si>
    <r>
      <t>Wool production (kg yr</t>
    </r>
    <r>
      <rPr>
        <vertAlign val="superscript"/>
        <sz val="10"/>
        <rFont val="Calibri"/>
        <family val="2"/>
        <scheme val="minor"/>
      </rPr>
      <t>-1</t>
    </r>
    <r>
      <rPr>
        <sz val="10"/>
        <rFont val="Calibri"/>
        <family val="2"/>
        <scheme val="minor"/>
      </rPr>
      <t>)</t>
    </r>
  </si>
  <si>
    <t>proportion of ewes pregnant</t>
  </si>
  <si>
    <t>NEwool</t>
  </si>
  <si>
    <t>kg milk per ewe per day (kg)</t>
  </si>
  <si>
    <t>Illustrative examples are provided for three sub-categories of cattle because the simplified calculation method used to cross-check the plausibility of DMI values (see Columns AB-AD) varies by sub-category type. In the examples given here, the value of Cfi is the IPCC default value, but this may be adjusted by weighting for the proportion of mature cows lactating (IPCC 2006, Vol 4 Ch 10, Table 10.4). Similarly, if sub-categories (e.g. 'growing cattle') include both male and female animals, then the value of the coefficient for growth (C) may be weighted by the proportion of males and females in the herd.</t>
  </si>
  <si>
    <t>Illustrative examples are provided for two sub-categories of sheep, i.e. ewes and lambs. The equation used here for NE lactation is IPCC (2006) Equation 10.9 where kg milk per day is known. If milk yield is not known, then IPCC Equation 10.10 should be used instead. The default values for coefficients used in the examples below have not been weighted for the proportion of males and females in the lamb sub-category.</t>
  </si>
  <si>
    <t>2. Methane emissions from manure management</t>
  </si>
  <si>
    <t>The IPCC Equations for methane emissions from manure management do not differ between cattle and sheep. The illustrative example provided here is for cattle.
The manure management system categories used here are from IPCC (2006) Vol 4 Ch 10 Table 10A.2, but users can adapt the MMS categories and associated MFCs to fit national circumstances.</t>
  </si>
  <si>
    <t>Crude protein in diet (%)</t>
  </si>
  <si>
    <r>
      <t>N</t>
    </r>
    <r>
      <rPr>
        <vertAlign val="subscript"/>
        <sz val="10"/>
        <color theme="1"/>
        <rFont val="Calibri"/>
        <family val="2"/>
        <scheme val="minor"/>
      </rPr>
      <t>intake</t>
    </r>
    <r>
      <rPr>
        <sz val="10"/>
        <color theme="1"/>
        <rFont val="Calibri"/>
        <family val="2"/>
        <scheme val="minor"/>
      </rPr>
      <t xml:space="preserve"> (kg N animal</t>
    </r>
    <r>
      <rPr>
        <vertAlign val="superscript"/>
        <sz val="10"/>
        <color theme="1"/>
        <rFont val="Calibri"/>
        <family val="2"/>
        <scheme val="minor"/>
      </rPr>
      <t>-1</t>
    </r>
    <r>
      <rPr>
        <sz val="10"/>
        <color theme="1"/>
        <rFont val="Calibri"/>
        <family val="2"/>
        <scheme val="minor"/>
      </rPr>
      <t xml:space="preserve"> day</t>
    </r>
    <r>
      <rPr>
        <vertAlign val="superscript"/>
        <sz val="10"/>
        <color theme="1"/>
        <rFont val="Calibri"/>
        <family val="2"/>
        <scheme val="minor"/>
      </rPr>
      <t>-1</t>
    </r>
    <r>
      <rPr>
        <sz val="10"/>
        <color theme="1"/>
        <rFont val="Calibri"/>
        <family val="2"/>
        <scheme val="minor"/>
      </rPr>
      <t>)</t>
    </r>
  </si>
  <si>
    <r>
      <t>N</t>
    </r>
    <r>
      <rPr>
        <vertAlign val="subscript"/>
        <sz val="10"/>
        <color theme="1"/>
        <rFont val="Calibri"/>
        <family val="2"/>
        <scheme val="minor"/>
      </rPr>
      <t>retention_frac</t>
    </r>
  </si>
  <si>
    <r>
      <t>Nex (kg N animal</t>
    </r>
    <r>
      <rPr>
        <vertAlign val="superscript"/>
        <sz val="10"/>
        <color theme="1"/>
        <rFont val="Calibri"/>
        <family val="2"/>
        <scheme val="minor"/>
      </rPr>
      <t>-1</t>
    </r>
    <r>
      <rPr>
        <sz val="10"/>
        <color theme="1"/>
        <rFont val="Calibri"/>
        <family val="2"/>
        <scheme val="minor"/>
      </rPr>
      <t xml:space="preserve"> year</t>
    </r>
    <r>
      <rPr>
        <vertAlign val="superscript"/>
        <sz val="10"/>
        <color theme="1"/>
        <rFont val="Calibri"/>
        <family val="2"/>
        <scheme val="minor"/>
      </rPr>
      <t>-1</t>
    </r>
    <r>
      <rPr>
        <sz val="10"/>
        <color theme="1"/>
        <rFont val="Calibri"/>
        <family val="2"/>
        <scheme val="minor"/>
      </rPr>
      <t>)</t>
    </r>
  </si>
  <si>
    <t>Urinary Energy as a fraction of GE</t>
  </si>
  <si>
    <t>Ash content of manure (proportion)</t>
  </si>
  <si>
    <r>
      <rPr>
        <sz val="10"/>
        <color theme="1"/>
        <rFont val="Calibri"/>
        <family val="2"/>
      </rPr>
      <t>Σ</t>
    </r>
    <r>
      <rPr>
        <sz val="10"/>
        <color theme="1"/>
        <rFont val="Calibri"/>
        <family val="2"/>
        <scheme val="minor"/>
      </rPr>
      <t>(MCF*MMS)/100</t>
    </r>
  </si>
  <si>
    <r>
      <t>Total manure management CH</t>
    </r>
    <r>
      <rPr>
        <vertAlign val="subscript"/>
        <sz val="10"/>
        <color theme="1"/>
        <rFont val="Calibri"/>
        <family val="2"/>
        <scheme val="minor"/>
      </rPr>
      <t>4</t>
    </r>
    <r>
      <rPr>
        <sz val="10"/>
        <color theme="1"/>
        <rFont val="Calibri"/>
        <family val="2"/>
        <scheme val="minor"/>
      </rPr>
      <t xml:space="preserve"> (kg) per sub-category</t>
    </r>
  </si>
  <si>
    <t>Milk protein content (%)</t>
  </si>
  <si>
    <t>Weight gain per day (kg)</t>
  </si>
  <si>
    <r>
      <t>Milk (kg animal</t>
    </r>
    <r>
      <rPr>
        <vertAlign val="superscript"/>
        <sz val="10"/>
        <color theme="1"/>
        <rFont val="Calibri"/>
        <family val="2"/>
        <scheme val="minor"/>
      </rPr>
      <t>-1</t>
    </r>
    <r>
      <rPr>
        <sz val="10"/>
        <color theme="1"/>
        <rFont val="Calibri"/>
        <family val="2"/>
        <scheme val="minor"/>
      </rPr>
      <t xml:space="preserve"> day</t>
    </r>
    <r>
      <rPr>
        <vertAlign val="superscript"/>
        <sz val="10"/>
        <color theme="1"/>
        <rFont val="Calibri"/>
        <family val="2"/>
        <scheme val="minor"/>
      </rPr>
      <t>-1</t>
    </r>
    <r>
      <rPr>
        <sz val="10"/>
        <color theme="1"/>
        <rFont val="Calibri"/>
        <family val="2"/>
        <scheme val="minor"/>
      </rPr>
      <t>)</t>
    </r>
  </si>
  <si>
    <r>
      <t>EF</t>
    </r>
    <r>
      <rPr>
        <vertAlign val="subscript"/>
        <sz val="11"/>
        <color theme="1"/>
        <rFont val="Calibri"/>
        <family val="2"/>
        <scheme val="minor"/>
      </rPr>
      <t>3 [kg N2O-N (kg Nitrogen excreted)-1]</t>
    </r>
  </si>
  <si>
    <r>
      <t>Total manure management direct N</t>
    </r>
    <r>
      <rPr>
        <vertAlign val="subscript"/>
        <sz val="10"/>
        <color theme="1"/>
        <rFont val="Calibri"/>
        <family val="2"/>
        <scheme val="minor"/>
      </rPr>
      <t>2</t>
    </r>
    <r>
      <rPr>
        <sz val="10"/>
        <color theme="1"/>
        <rFont val="Calibri"/>
        <family val="2"/>
        <scheme val="minor"/>
      </rPr>
      <t>O per sub-category (kg)</t>
    </r>
  </si>
  <si>
    <r>
      <t>3. Direct N</t>
    </r>
    <r>
      <rPr>
        <b/>
        <vertAlign val="subscript"/>
        <sz val="11"/>
        <color theme="1"/>
        <rFont val="Calibri"/>
        <family val="2"/>
        <scheme val="minor"/>
      </rPr>
      <t>2</t>
    </r>
    <r>
      <rPr>
        <b/>
        <sz val="11"/>
        <color theme="1"/>
        <rFont val="Calibri"/>
        <family val="2"/>
        <scheme val="minor"/>
      </rPr>
      <t>O from manure management</t>
    </r>
  </si>
  <si>
    <r>
      <t>In the template below, fraction of manure deposited on pasture  MMS and the EF</t>
    </r>
    <r>
      <rPr>
        <vertAlign val="subscript"/>
        <sz val="11"/>
        <color theme="1"/>
        <rFont val="Calibri"/>
        <family val="2"/>
        <scheme val="minor"/>
      </rPr>
      <t>3</t>
    </r>
    <r>
      <rPr>
        <sz val="11"/>
        <color theme="1"/>
        <rFont val="Calibri"/>
        <family val="2"/>
        <scheme val="minor"/>
      </rPr>
      <t xml:space="preserve"> for N</t>
    </r>
    <r>
      <rPr>
        <vertAlign val="subscript"/>
        <sz val="11"/>
        <color theme="1"/>
        <rFont val="Calibri"/>
        <family val="2"/>
        <scheme val="minor"/>
      </rPr>
      <t>2</t>
    </r>
    <r>
      <rPr>
        <sz val="11"/>
        <color theme="1"/>
        <rFont val="Calibri"/>
        <family val="2"/>
        <scheme val="minor"/>
      </rPr>
      <t>O emissions from dung and urine deposited on pasture are included for completeness, but N2O emissions from dung and urine deposited on pasture are not included in the calculation of N2O emissions here. They are separately calculated in Templates 5 and 6 below.</t>
    </r>
  </si>
  <si>
    <r>
      <t>EF</t>
    </r>
    <r>
      <rPr>
        <vertAlign val="subscript"/>
        <sz val="11"/>
        <color theme="1"/>
        <rFont val="Calibri"/>
        <family val="2"/>
        <scheme val="minor"/>
      </rPr>
      <t xml:space="preserve">3 </t>
    </r>
    <r>
      <rPr>
        <sz val="11"/>
        <color theme="1"/>
        <rFont val="Calibri"/>
        <family val="2"/>
        <scheme val="minor"/>
      </rPr>
      <t>[kg N</t>
    </r>
    <r>
      <rPr>
        <vertAlign val="subscript"/>
        <sz val="11"/>
        <color theme="1"/>
        <rFont val="Calibri"/>
        <family val="2"/>
        <scheme val="minor"/>
      </rPr>
      <t>2</t>
    </r>
    <r>
      <rPr>
        <sz val="11"/>
        <color theme="1"/>
        <rFont val="Calibri"/>
        <family val="2"/>
        <scheme val="minor"/>
      </rPr>
      <t>O-N (kg Nitrogen excreted)</t>
    </r>
    <r>
      <rPr>
        <vertAlign val="superscript"/>
        <sz val="11"/>
        <color theme="1"/>
        <rFont val="Calibri"/>
        <family val="2"/>
        <scheme val="minor"/>
      </rPr>
      <t>-1</t>
    </r>
    <r>
      <rPr>
        <sz val="11"/>
        <color theme="1"/>
        <rFont val="Calibri"/>
        <family val="2"/>
        <scheme val="minor"/>
      </rPr>
      <t>]</t>
    </r>
  </si>
  <si>
    <r>
      <t>4. Indirect N</t>
    </r>
    <r>
      <rPr>
        <b/>
        <vertAlign val="subscript"/>
        <sz val="11"/>
        <color theme="1"/>
        <rFont val="Calibri"/>
        <family val="2"/>
        <scheme val="minor"/>
      </rPr>
      <t>2</t>
    </r>
    <r>
      <rPr>
        <b/>
        <sz val="11"/>
        <color theme="1"/>
        <rFont val="Calibri"/>
        <family val="2"/>
        <scheme val="minor"/>
      </rPr>
      <t>O from manure management</t>
    </r>
  </si>
  <si>
    <r>
      <t>EF (N</t>
    </r>
    <r>
      <rPr>
        <vertAlign val="subscript"/>
        <sz val="10"/>
        <color theme="1"/>
        <rFont val="Calibri"/>
        <family val="2"/>
        <scheme val="minor"/>
      </rPr>
      <t>2</t>
    </r>
    <r>
      <rPr>
        <sz val="10"/>
        <color theme="1"/>
        <rFont val="Calibri"/>
        <family val="2"/>
        <scheme val="minor"/>
      </rPr>
      <t>O head</t>
    </r>
    <r>
      <rPr>
        <vertAlign val="superscript"/>
        <sz val="10"/>
        <color theme="1"/>
        <rFont val="Calibri"/>
        <family val="2"/>
        <scheme val="minor"/>
      </rPr>
      <t>-1</t>
    </r>
    <r>
      <rPr>
        <sz val="10"/>
        <color theme="1"/>
        <rFont val="Calibri"/>
        <family val="2"/>
        <scheme val="minor"/>
      </rPr>
      <t xml:space="preserve"> year</t>
    </r>
    <r>
      <rPr>
        <vertAlign val="superscript"/>
        <sz val="10"/>
        <color theme="1"/>
        <rFont val="Calibri"/>
        <family val="2"/>
        <scheme val="minor"/>
      </rPr>
      <t>-1</t>
    </r>
    <r>
      <rPr>
        <sz val="10"/>
        <color theme="1"/>
        <rFont val="Calibri"/>
        <family val="2"/>
        <scheme val="minor"/>
      </rPr>
      <t>)</t>
    </r>
  </si>
  <si>
    <r>
      <t>EF</t>
    </r>
    <r>
      <rPr>
        <vertAlign val="subscript"/>
        <sz val="10"/>
        <color theme="1"/>
        <rFont val="Calibri"/>
        <family val="2"/>
        <scheme val="minor"/>
      </rPr>
      <t>4</t>
    </r>
    <r>
      <rPr>
        <sz val="10"/>
        <color theme="1"/>
        <rFont val="Calibri"/>
        <family val="2"/>
        <scheme val="minor"/>
      </rPr>
      <t xml:space="preserve"> (kg N</t>
    </r>
    <r>
      <rPr>
        <vertAlign val="subscript"/>
        <sz val="10"/>
        <color theme="1"/>
        <rFont val="Calibri"/>
        <family val="2"/>
        <scheme val="minor"/>
      </rPr>
      <t>2</t>
    </r>
    <r>
      <rPr>
        <sz val="10"/>
        <color theme="1"/>
        <rFont val="Calibri"/>
        <family val="2"/>
        <scheme val="minor"/>
      </rPr>
      <t>O–N (kgNH</t>
    </r>
    <r>
      <rPr>
        <vertAlign val="subscript"/>
        <sz val="10"/>
        <color theme="1"/>
        <rFont val="Calibri"/>
        <family val="2"/>
        <scheme val="minor"/>
      </rPr>
      <t>3</t>
    </r>
    <r>
      <rPr>
        <sz val="10"/>
        <color theme="1"/>
        <rFont val="Calibri"/>
        <family val="2"/>
        <scheme val="minor"/>
      </rPr>
      <t>–N+NO</t>
    </r>
    <r>
      <rPr>
        <vertAlign val="subscript"/>
        <sz val="10"/>
        <color theme="1"/>
        <rFont val="Calibri"/>
        <family val="2"/>
        <scheme val="minor"/>
      </rPr>
      <t>X</t>
    </r>
    <r>
      <rPr>
        <sz val="10"/>
        <color theme="1"/>
        <rFont val="Calibri"/>
        <family val="2"/>
        <scheme val="minor"/>
      </rPr>
      <t>–N volatilised)</t>
    </r>
    <r>
      <rPr>
        <vertAlign val="subscript"/>
        <sz val="10"/>
        <color theme="1"/>
        <rFont val="Calibri"/>
        <family val="2"/>
        <scheme val="minor"/>
      </rPr>
      <t>-1</t>
    </r>
    <r>
      <rPr>
        <sz val="10"/>
        <color theme="1"/>
        <rFont val="Calibri"/>
        <family val="2"/>
        <scheme val="minor"/>
      </rPr>
      <t>)</t>
    </r>
  </si>
  <si>
    <r>
      <t>Total manure management indirect N</t>
    </r>
    <r>
      <rPr>
        <vertAlign val="subscript"/>
        <sz val="10"/>
        <color theme="1"/>
        <rFont val="Calibri"/>
        <family val="2"/>
        <scheme val="minor"/>
      </rPr>
      <t>2</t>
    </r>
    <r>
      <rPr>
        <sz val="10"/>
        <color theme="1"/>
        <rFont val="Calibri"/>
        <family val="2"/>
        <scheme val="minor"/>
      </rPr>
      <t>O due to volatilization per sub-category (kg)</t>
    </r>
  </si>
  <si>
    <r>
      <t>Following IPCC (2006) Vol 4 Ch 10 page 10.56, Indirect N</t>
    </r>
    <r>
      <rPr>
        <vertAlign val="subscript"/>
        <sz val="11"/>
        <color theme="1"/>
        <rFont val="Calibri"/>
        <family val="2"/>
        <scheme val="minor"/>
      </rPr>
      <t>2</t>
    </r>
    <r>
      <rPr>
        <sz val="11"/>
        <color theme="1"/>
        <rFont val="Calibri"/>
        <family val="2"/>
        <scheme val="minor"/>
      </rPr>
      <t>O emissions calculated in the template below only includes emissions from volatilization. Because the fraction of N leached in manure management systems is highly uncertain, IPCC Equation 10.28 for N losses due to leaching in manure management systems should only be used when  country-specific data on the fraction leached is available. In the template below, fraction of manure deposited on pasture  MMS and Fracgasm for N</t>
    </r>
    <r>
      <rPr>
        <vertAlign val="subscript"/>
        <sz val="11"/>
        <color theme="1"/>
        <rFont val="Calibri"/>
        <family val="2"/>
        <scheme val="minor"/>
      </rPr>
      <t>2</t>
    </r>
    <r>
      <rPr>
        <sz val="11"/>
        <color theme="1"/>
        <rFont val="Calibri"/>
        <family val="2"/>
        <scheme val="minor"/>
      </rPr>
      <t>O emissions from dung and urine deposited on pasture are included for completeness, but N</t>
    </r>
    <r>
      <rPr>
        <vertAlign val="subscript"/>
        <sz val="11"/>
        <color theme="1"/>
        <rFont val="Calibri"/>
        <family val="2"/>
        <scheme val="minor"/>
      </rPr>
      <t>2</t>
    </r>
    <r>
      <rPr>
        <sz val="11"/>
        <color theme="1"/>
        <rFont val="Calibri"/>
        <family val="2"/>
        <scheme val="minor"/>
      </rPr>
      <t>O emissions from dung and urine deposited on pasture are not included in the calculation of N</t>
    </r>
    <r>
      <rPr>
        <vertAlign val="subscript"/>
        <sz val="11"/>
        <color theme="1"/>
        <rFont val="Calibri"/>
        <family val="2"/>
        <scheme val="minor"/>
      </rPr>
      <t>2</t>
    </r>
    <r>
      <rPr>
        <sz val="11"/>
        <color theme="1"/>
        <rFont val="Calibri"/>
        <family val="2"/>
        <scheme val="minor"/>
      </rPr>
      <t>O emissions here. They are separately calculated in Templates 5 and 6 below.</t>
    </r>
  </si>
  <si>
    <r>
      <t>5. Direct N</t>
    </r>
    <r>
      <rPr>
        <b/>
        <vertAlign val="subscript"/>
        <sz val="11"/>
        <color theme="1"/>
        <rFont val="Calibri"/>
        <family val="2"/>
        <scheme val="minor"/>
      </rPr>
      <t>2</t>
    </r>
    <r>
      <rPr>
        <b/>
        <sz val="11"/>
        <color theme="1"/>
        <rFont val="Calibri"/>
        <family val="2"/>
        <scheme val="minor"/>
      </rPr>
      <t>O emissions from deposit of dung and urine on pasture</t>
    </r>
  </si>
  <si>
    <t>Fraction of dung and urine deposited on pasture</t>
  </si>
  <si>
    <r>
      <t>Total direct N</t>
    </r>
    <r>
      <rPr>
        <vertAlign val="subscript"/>
        <sz val="10"/>
        <color theme="1"/>
        <rFont val="Calibri"/>
        <family val="2"/>
        <scheme val="minor"/>
      </rPr>
      <t>2</t>
    </r>
    <r>
      <rPr>
        <sz val="10"/>
        <color theme="1"/>
        <rFont val="Calibri"/>
        <family val="2"/>
        <scheme val="minor"/>
      </rPr>
      <t>O from dung and urine deposited on pasture per sub-category (kg)</t>
    </r>
  </si>
  <si>
    <r>
      <t>6. Indirect N</t>
    </r>
    <r>
      <rPr>
        <b/>
        <vertAlign val="subscript"/>
        <sz val="11"/>
        <color theme="1"/>
        <rFont val="Calibri"/>
        <family val="2"/>
        <scheme val="minor"/>
      </rPr>
      <t>2</t>
    </r>
    <r>
      <rPr>
        <b/>
        <sz val="11"/>
        <color theme="1"/>
        <rFont val="Calibri"/>
        <family val="2"/>
        <scheme val="minor"/>
      </rPr>
      <t>O emissions from deposit of dung and urine on pasture</t>
    </r>
  </si>
  <si>
    <r>
      <t>EF</t>
    </r>
    <r>
      <rPr>
        <vertAlign val="subscript"/>
        <sz val="11"/>
        <color theme="1"/>
        <rFont val="Calibri"/>
        <family val="2"/>
        <scheme val="minor"/>
      </rPr>
      <t>5 kg N2O–N (kg N leaching/runoff)</t>
    </r>
    <r>
      <rPr>
        <vertAlign val="superscript"/>
        <sz val="11"/>
        <color theme="1"/>
        <rFont val="Calibri"/>
        <family val="2"/>
        <scheme val="minor"/>
      </rPr>
      <t>-1</t>
    </r>
  </si>
  <si>
    <r>
      <t>Total indirect N</t>
    </r>
    <r>
      <rPr>
        <vertAlign val="subscript"/>
        <sz val="10"/>
        <color theme="1"/>
        <rFont val="Calibri"/>
        <family val="2"/>
        <scheme val="minor"/>
      </rPr>
      <t>2</t>
    </r>
    <r>
      <rPr>
        <sz val="10"/>
        <color theme="1"/>
        <rFont val="Calibri"/>
        <family val="2"/>
        <scheme val="minor"/>
      </rPr>
      <t>O due to volatilization from dung and urine deposited on pasture per sub-category (kg)</t>
    </r>
  </si>
  <si>
    <r>
      <t>Total indirect N</t>
    </r>
    <r>
      <rPr>
        <vertAlign val="subscript"/>
        <sz val="10"/>
        <color theme="1"/>
        <rFont val="Calibri"/>
        <family val="2"/>
        <scheme val="minor"/>
      </rPr>
      <t>2</t>
    </r>
    <r>
      <rPr>
        <sz val="10"/>
        <color theme="1"/>
        <rFont val="Calibri"/>
        <family val="2"/>
        <scheme val="minor"/>
      </rPr>
      <t>O due to leaching and runoff from dung and urine deposited on pasture per sub-category (kg)</t>
    </r>
  </si>
  <si>
    <r>
      <t>N</t>
    </r>
    <r>
      <rPr>
        <vertAlign val="subscript"/>
        <sz val="10"/>
        <color theme="1"/>
        <rFont val="Calibri"/>
        <family val="2"/>
        <scheme val="minor"/>
      </rPr>
      <t xml:space="preserve">retention </t>
    </r>
    <r>
      <rPr>
        <sz val="10"/>
        <color theme="1"/>
        <rFont val="Calibri"/>
        <family val="2"/>
        <scheme val="minor"/>
      </rPr>
      <t>(kgN)</t>
    </r>
  </si>
  <si>
    <r>
      <t>Following IPCC (2006) Vol 4 Ch 11 Equation 11.10, indirect N</t>
    </r>
    <r>
      <rPr>
        <vertAlign val="subscript"/>
        <sz val="11"/>
        <color theme="1"/>
        <rFont val="Calibri"/>
        <family val="2"/>
        <scheme val="minor"/>
      </rPr>
      <t>2</t>
    </r>
    <r>
      <rPr>
        <sz val="11"/>
        <color theme="1"/>
        <rFont val="Calibri"/>
        <family val="2"/>
        <scheme val="minor"/>
      </rPr>
      <t>O emissions calculated in the template below includes emissions from leaching. However, if precipitation is lower than evapotranspiration for most of the year, then following IPCC (2006) Vol 4 Ch. 11 page 10.21, leaching is not likely to occur and the default value for Fracleach should be zero.</t>
    </r>
  </si>
  <si>
    <t>The templates that follow are provided as a guide to the implementation of the IPCC equations in Microsoft Excel. For illustrative purposes only, the input values used in the examples follow the IPCC parameterization for cattle in Africa and an example for sheep from Asia. The specific way the equations are implemented may be adjusted to suit national circumstances, and the templates are provided as a guide only.
White cells are where the user should input country-specific values. The grey cells indicate programmed calculations.</t>
  </si>
  <si>
    <t>Draft bullocks</t>
  </si>
  <si>
    <t>The IPCC equations for enteric fermentation of cattle and sheep differ. Template 1a provides equations for cattle, and template 1b provides equations for sheep. The 2019 Refinement to the 2006 IPCC Guidelines provides alternative values for several parameters that may be applied to goats, an the user should revise these parameters in the equations programmed in these templates.</t>
  </si>
  <si>
    <t>Dairy cow</t>
  </si>
  <si>
    <t>Bulls - grazing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</si>
</sst>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6" formatCode="0.000"/>
  </numFmts>
  <fonts count="20" x14ac:knownFonts="1">
    <font>
      <sz val="11"/>
      <color theme="1"/>
      <name val="Calibri"/>
      <family val="2"/>
      <scheme val="minor"/>
    </font>
    <font>
      <b/>
      <sz val="11"/>
      <color theme="1"/>
      <name val="Calibri"/>
      <family val="2"/>
      <scheme val="minor"/>
    </font>
    <font>
      <sz val="10"/>
      <name val="Calibri"/>
      <family val="2"/>
      <scheme val="minor"/>
    </font>
    <font>
      <vertAlign val="superscript"/>
      <sz val="10"/>
      <name val="Calibri"/>
      <family val="2"/>
      <scheme val="minor"/>
    </font>
    <font>
      <sz val="10"/>
      <color theme="1"/>
      <name val="Calibri"/>
      <family val="2"/>
      <scheme val="minor"/>
    </font>
    <font>
      <sz val="10"/>
      <color theme="0" tint="-0.499984740745262"/>
      <name val="Calibri"/>
      <family val="2"/>
      <scheme val="minor"/>
    </font>
    <font>
      <sz val="11"/>
      <name val="Calibri"/>
      <family val="2"/>
      <scheme val="minor"/>
    </font>
    <font>
      <sz val="11"/>
      <color theme="0" tint="-0.499984740745262"/>
      <name val="Calibri"/>
      <family val="2"/>
      <scheme val="minor"/>
    </font>
    <font>
      <vertAlign val="subscript"/>
      <sz val="10"/>
      <name val="Calibri"/>
      <family val="2"/>
      <scheme val="minor"/>
    </font>
    <font>
      <vertAlign val="superscript"/>
      <sz val="11"/>
      <color theme="1"/>
      <name val="Calibri"/>
      <family val="2"/>
      <scheme val="minor"/>
    </font>
    <font>
      <vertAlign val="superscript"/>
      <sz val="10"/>
      <color theme="1"/>
      <name val="Calibri"/>
      <family val="2"/>
      <scheme val="minor"/>
    </font>
    <font>
      <vertAlign val="subscript"/>
      <sz val="10"/>
      <color theme="1"/>
      <name val="Calibri"/>
      <family val="2"/>
      <scheme val="minor"/>
    </font>
    <font>
      <vertAlign val="subscript"/>
      <sz val="11"/>
      <color theme="1"/>
      <name val="Calibri"/>
      <family val="2"/>
      <scheme val="minor"/>
    </font>
    <font>
      <sz val="9"/>
      <color indexed="81"/>
      <name val="Tahoma"/>
      <family val="2"/>
    </font>
    <font>
      <b/>
      <sz val="9"/>
      <color indexed="81"/>
      <name val="Tahoma"/>
      <family val="2"/>
    </font>
    <font>
      <b/>
      <sz val="10"/>
      <color theme="1"/>
      <name val="Calibri"/>
      <family val="2"/>
      <scheme val="minor"/>
    </font>
    <font>
      <sz val="10"/>
      <color theme="1"/>
      <name val="Calibri"/>
      <family val="2"/>
    </font>
    <font>
      <b/>
      <vertAlign val="subscript"/>
      <sz val="11"/>
      <color theme="1"/>
      <name val="Calibri"/>
      <family val="2"/>
      <scheme val="minor"/>
    </font>
    <font>
      <i/>
      <sz val="10"/>
      <name val="Calibri"/>
      <family val="2"/>
      <scheme val="minor"/>
    </font>
    <font>
      <i/>
      <sz val="10"/>
      <color theme="0" tint="-0.499984740745262"/>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s>
  <borders count="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1">
    <xf numFmtId="0" fontId="0" fillId="0" borderId="0"/>
  </cellStyleXfs>
  <cellXfs count="72">
    <xf numFmtId="0" fontId="0" fillId="0" borderId="0" xfId="0"/>
    <xf numFmtId="0" fontId="2" fillId="2" borderId="0" xfId="0" applyFont="1" applyFill="1" applyAlignment="1">
      <alignment wrapText="1"/>
    </xf>
    <xf numFmtId="2" fontId="4" fillId="0" borderId="0" xfId="0" applyNumberFormat="1" applyFont="1" applyFill="1"/>
    <xf numFmtId="0" fontId="4" fillId="0" borderId="0" xfId="0" applyFont="1"/>
    <xf numFmtId="2" fontId="2" fillId="0" borderId="0" xfId="0" applyNumberFormat="1" applyFont="1" applyFill="1"/>
    <xf numFmtId="1" fontId="4" fillId="0" borderId="0" xfId="0" applyNumberFormat="1" applyFont="1"/>
    <xf numFmtId="3" fontId="4" fillId="0" borderId="0" xfId="0" applyNumberFormat="1" applyFont="1" applyFill="1"/>
    <xf numFmtId="1" fontId="4" fillId="0" borderId="0" xfId="0" applyNumberFormat="1" applyFont="1" applyFill="1"/>
    <xf numFmtId="0" fontId="2" fillId="0" borderId="0" xfId="0" applyFont="1" applyFill="1"/>
    <xf numFmtId="0" fontId="6" fillId="0" borderId="0" xfId="0" applyFont="1" applyFill="1"/>
    <xf numFmtId="1" fontId="2" fillId="0" borderId="0" xfId="0" applyNumberFormat="1" applyFont="1" applyFill="1"/>
    <xf numFmtId="0" fontId="2" fillId="4" borderId="0" xfId="0" applyFont="1" applyFill="1"/>
    <xf numFmtId="2" fontId="2" fillId="4" borderId="0" xfId="0" applyNumberFormat="1" applyFont="1" applyFill="1"/>
    <xf numFmtId="2" fontId="4" fillId="0" borderId="0" xfId="0" applyNumberFormat="1" applyFont="1"/>
    <xf numFmtId="0" fontId="0" fillId="2" borderId="0" xfId="0" applyFill="1"/>
    <xf numFmtId="0" fontId="0" fillId="2" borderId="0" xfId="0" applyFill="1" applyAlignment="1">
      <alignment wrapText="1"/>
    </xf>
    <xf numFmtId="10" fontId="4" fillId="0" borderId="0" xfId="0" applyNumberFormat="1" applyFont="1"/>
    <xf numFmtId="0" fontId="4" fillId="2" borderId="0" xfId="0" applyFont="1" applyFill="1"/>
    <xf numFmtId="0" fontId="4" fillId="2" borderId="0" xfId="0" applyFont="1" applyFill="1" applyAlignment="1">
      <alignment wrapText="1"/>
    </xf>
    <xf numFmtId="0" fontId="4" fillId="0" borderId="0" xfId="0" applyFont="1" applyFill="1"/>
    <xf numFmtId="10" fontId="4" fillId="0" borderId="0" xfId="0" applyNumberFormat="1" applyFont="1" applyFill="1"/>
    <xf numFmtId="3" fontId="2" fillId="0" borderId="0" xfId="0" applyNumberFormat="1" applyFont="1" applyFill="1"/>
    <xf numFmtId="2" fontId="4" fillId="4" borderId="0" xfId="0" applyNumberFormat="1" applyFont="1" applyFill="1"/>
    <xf numFmtId="0" fontId="4" fillId="2" borderId="4" xfId="0" applyFont="1" applyFill="1" applyBorder="1"/>
    <xf numFmtId="0" fontId="4" fillId="2" borderId="5" xfId="0" applyFont="1" applyFill="1" applyBorder="1"/>
    <xf numFmtId="0" fontId="4" fillId="2" borderId="6" xfId="0" applyFont="1" applyFill="1" applyBorder="1"/>
    <xf numFmtId="10" fontId="0" fillId="0" borderId="0" xfId="0" applyNumberFormat="1" applyFill="1"/>
    <xf numFmtId="0" fontId="0" fillId="0" borderId="0" xfId="0" applyFill="1"/>
    <xf numFmtId="0" fontId="0" fillId="0" borderId="0" xfId="0" applyFont="1" applyFill="1"/>
    <xf numFmtId="2" fontId="0" fillId="0" borderId="0" xfId="0" applyNumberFormat="1" applyFill="1"/>
    <xf numFmtId="2" fontId="6" fillId="4" borderId="0" xfId="0" applyNumberFormat="1" applyFont="1" applyFill="1"/>
    <xf numFmtId="164" fontId="2" fillId="0" borderId="0" xfId="0" applyNumberFormat="1" applyFont="1"/>
    <xf numFmtId="164" fontId="2" fillId="0" borderId="0" xfId="0" applyNumberFormat="1" applyFont="1" applyFill="1"/>
    <xf numFmtId="164" fontId="4" fillId="0" borderId="0" xfId="0" applyNumberFormat="1" applyFont="1" applyFill="1"/>
    <xf numFmtId="43" fontId="0" fillId="0" borderId="0" xfId="0" applyNumberFormat="1" applyFill="1"/>
    <xf numFmtId="0" fontId="4" fillId="2" borderId="0" xfId="0" applyFont="1" applyFill="1" applyAlignment="1">
      <alignment horizontal="center" wrapText="1"/>
    </xf>
    <xf numFmtId="4" fontId="2" fillId="4" borderId="0" xfId="0" applyNumberFormat="1" applyFont="1" applyFill="1"/>
    <xf numFmtId="0" fontId="4" fillId="4" borderId="0" xfId="0" applyFont="1" applyFill="1"/>
    <xf numFmtId="166" fontId="2" fillId="4" borderId="0" xfId="0" applyNumberFormat="1" applyFont="1" applyFill="1"/>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7" xfId="0" applyFill="1" applyBorder="1" applyAlignment="1">
      <alignment horizontal="center"/>
    </xf>
    <xf numFmtId="0" fontId="0" fillId="5" borderId="0" xfId="0" applyFill="1" applyBorder="1" applyAlignment="1">
      <alignment horizontal="center"/>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0" fillId="5" borderId="1" xfId="0" applyFill="1" applyBorder="1" applyAlignment="1">
      <alignment horizontal="center" wrapText="1"/>
    </xf>
    <xf numFmtId="0" fontId="0" fillId="5" borderId="2" xfId="0" applyFill="1" applyBorder="1" applyAlignment="1">
      <alignment horizontal="center" wrapText="1"/>
    </xf>
    <xf numFmtId="0" fontId="0" fillId="5" borderId="3" xfId="0" applyFill="1" applyBorder="1" applyAlignment="1">
      <alignment horizontal="center" wrapText="1"/>
    </xf>
    <xf numFmtId="0" fontId="1" fillId="6" borderId="0" xfId="0" applyFont="1" applyFill="1"/>
    <xf numFmtId="0" fontId="0" fillId="6" borderId="0" xfId="0" applyFill="1"/>
    <xf numFmtId="0" fontId="0" fillId="6" borderId="0" xfId="0" applyFont="1" applyFill="1" applyAlignment="1">
      <alignment horizontal="left" wrapText="1"/>
    </xf>
    <xf numFmtId="0" fontId="0" fillId="6" borderId="0" xfId="0" applyFill="1" applyAlignment="1">
      <alignment horizontal="left" wrapText="1"/>
    </xf>
    <xf numFmtId="0" fontId="0" fillId="6" borderId="0" xfId="0" applyFill="1" applyAlignment="1">
      <alignment horizontal="left"/>
    </xf>
    <xf numFmtId="0" fontId="0" fillId="6" borderId="0" xfId="0" applyFill="1" applyAlignment="1">
      <alignment horizontal="left" wrapText="1"/>
    </xf>
    <xf numFmtId="0" fontId="0" fillId="6" borderId="0" xfId="0" applyFill="1" applyAlignment="1">
      <alignment horizontal="left"/>
    </xf>
    <xf numFmtId="1" fontId="4" fillId="6" borderId="0" xfId="0" applyNumberFormat="1" applyFont="1" applyFill="1"/>
    <xf numFmtId="0" fontId="4" fillId="6" borderId="0" xfId="0" applyFont="1" applyFill="1"/>
    <xf numFmtId="0" fontId="2" fillId="6" borderId="0" xfId="0" applyFont="1" applyFill="1"/>
    <xf numFmtId="1" fontId="2" fillId="6" borderId="0" xfId="0" applyNumberFormat="1" applyFont="1" applyFill="1"/>
    <xf numFmtId="164" fontId="2" fillId="6" borderId="0" xfId="0" applyNumberFormat="1" applyFont="1" applyFill="1"/>
    <xf numFmtId="2" fontId="5" fillId="6" borderId="0" xfId="0" applyNumberFormat="1" applyFont="1" applyFill="1"/>
    <xf numFmtId="2" fontId="4" fillId="6" borderId="0" xfId="0" applyNumberFormat="1" applyFont="1" applyFill="1"/>
    <xf numFmtId="1" fontId="15" fillId="6" borderId="0" xfId="0" applyNumberFormat="1" applyFont="1" applyFill="1"/>
    <xf numFmtId="0" fontId="4" fillId="2" borderId="7" xfId="0" applyFont="1" applyFill="1" applyBorder="1" applyAlignment="1">
      <alignment horizontal="center"/>
    </xf>
    <xf numFmtId="0" fontId="4" fillId="2" borderId="0" xfId="0" applyFont="1" applyFill="1" applyAlignment="1">
      <alignment horizontal="center"/>
    </xf>
    <xf numFmtId="0" fontId="0" fillId="6" borderId="0" xfId="0" applyFont="1" applyFill="1" applyAlignment="1">
      <alignment horizontal="left"/>
    </xf>
    <xf numFmtId="0" fontId="0" fillId="6" borderId="0" xfId="0" applyFont="1" applyFill="1" applyAlignment="1">
      <alignment horizontal="left"/>
    </xf>
    <xf numFmtId="0" fontId="18" fillId="3" borderId="0" xfId="0" applyFont="1" applyFill="1" applyAlignment="1">
      <alignment wrapText="1"/>
    </xf>
    <xf numFmtId="2" fontId="19" fillId="7" borderId="0" xfId="0" applyNumberFormat="1" applyFont="1" applyFill="1"/>
    <xf numFmtId="1" fontId="7" fillId="6"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42727-6527-424D-B1F9-5DD5DC6FF98A}">
  <dimension ref="A1:CH69"/>
  <sheetViews>
    <sheetView tabSelected="1" zoomScale="90" zoomScaleNormal="90" workbookViewId="0">
      <selection activeCell="A10" sqref="A10"/>
    </sheetView>
  </sheetViews>
  <sheetFormatPr defaultRowHeight="14.5" x14ac:dyDescent="0.35"/>
  <cols>
    <col min="2" max="2" width="17.6328125" customWidth="1"/>
    <col min="3" max="3" width="10.90625" customWidth="1"/>
    <col min="5" max="5" width="11.36328125" customWidth="1"/>
    <col min="6" max="6" width="9.7265625" customWidth="1"/>
    <col min="7" max="7" width="12.26953125" customWidth="1"/>
    <col min="8" max="8" width="10.7265625" customWidth="1"/>
    <col min="10" max="10" width="10" customWidth="1"/>
    <col min="30" max="30" width="11.81640625" customWidth="1"/>
    <col min="31" max="31" width="13.54296875" customWidth="1"/>
    <col min="32" max="32" width="12.26953125" customWidth="1"/>
    <col min="33" max="33" width="17.36328125" customWidth="1"/>
    <col min="34" max="34" width="13.453125" customWidth="1"/>
  </cols>
  <sheetData>
    <row r="1" spans="1:62" s="51" customFormat="1" x14ac:dyDescent="0.35">
      <c r="A1" s="50" t="s">
        <v>50</v>
      </c>
    </row>
    <row r="2" spans="1:62" s="51" customFormat="1" ht="59" customHeight="1" x14ac:dyDescent="0.35">
      <c r="A2" s="52" t="s">
        <v>103</v>
      </c>
      <c r="B2" s="52"/>
      <c r="C2" s="52"/>
      <c r="D2" s="52"/>
      <c r="E2" s="52"/>
      <c r="F2" s="52"/>
      <c r="G2" s="52"/>
      <c r="H2" s="52"/>
      <c r="I2" s="52"/>
      <c r="J2" s="52"/>
      <c r="K2" s="52"/>
      <c r="L2" s="52"/>
      <c r="M2" s="52"/>
      <c r="N2" s="52"/>
      <c r="O2" s="52"/>
      <c r="P2" s="52"/>
      <c r="Q2" s="52"/>
      <c r="R2" s="52"/>
    </row>
    <row r="3" spans="1:62" s="51" customFormat="1" x14ac:dyDescent="0.35">
      <c r="A3" s="50"/>
    </row>
    <row r="4" spans="1:62" s="51" customFormat="1" x14ac:dyDescent="0.35">
      <c r="A4" s="50" t="s">
        <v>51</v>
      </c>
    </row>
    <row r="5" spans="1:62" s="51" customFormat="1" ht="33.5" customHeight="1" x14ac:dyDescent="0.35">
      <c r="A5" s="53" t="s">
        <v>105</v>
      </c>
      <c r="B5" s="54"/>
      <c r="C5" s="54"/>
      <c r="D5" s="54"/>
      <c r="E5" s="54"/>
      <c r="F5" s="54"/>
      <c r="G5" s="54"/>
      <c r="H5" s="54"/>
      <c r="I5" s="54"/>
      <c r="J5" s="54"/>
      <c r="K5" s="54"/>
      <c r="L5" s="54"/>
      <c r="M5" s="54"/>
      <c r="N5" s="54"/>
      <c r="O5" s="54"/>
      <c r="P5" s="54"/>
      <c r="Q5" s="54"/>
      <c r="R5" s="54"/>
    </row>
    <row r="6" spans="1:62" s="51" customFormat="1" ht="16" customHeight="1" x14ac:dyDescent="0.35">
      <c r="A6" s="55"/>
      <c r="B6" s="56"/>
      <c r="C6" s="56"/>
      <c r="D6" s="56"/>
      <c r="E6" s="56"/>
      <c r="F6" s="56"/>
      <c r="G6" s="56"/>
      <c r="H6" s="56"/>
      <c r="I6" s="56"/>
      <c r="J6" s="56"/>
      <c r="K6" s="56"/>
      <c r="L6" s="56"/>
      <c r="M6" s="56"/>
      <c r="N6" s="56"/>
      <c r="O6" s="56"/>
      <c r="P6" s="56"/>
      <c r="Q6" s="56"/>
      <c r="R6" s="56"/>
    </row>
    <row r="7" spans="1:62" s="51" customFormat="1" x14ac:dyDescent="0.35">
      <c r="A7" s="50" t="s">
        <v>52</v>
      </c>
    </row>
    <row r="8" spans="1:62" s="51" customFormat="1" ht="45.5" customHeight="1" x14ac:dyDescent="0.35">
      <c r="A8" s="53" t="s">
        <v>69</v>
      </c>
      <c r="B8" s="54"/>
      <c r="C8" s="54"/>
      <c r="D8" s="54"/>
      <c r="E8" s="54"/>
      <c r="F8" s="54"/>
      <c r="G8" s="54"/>
      <c r="H8" s="54"/>
      <c r="I8" s="54"/>
      <c r="J8" s="54"/>
      <c r="K8" s="54"/>
      <c r="L8" s="54"/>
      <c r="M8" s="54"/>
      <c r="N8" s="54"/>
      <c r="O8" s="54"/>
      <c r="P8" s="54"/>
      <c r="Q8" s="54"/>
      <c r="R8" s="54"/>
    </row>
    <row r="9" spans="1:62" ht="54.5" x14ac:dyDescent="0.35">
      <c r="A9" s="1" t="s">
        <v>26</v>
      </c>
      <c r="B9" s="1" t="s">
        <v>28</v>
      </c>
      <c r="C9" s="1" t="s">
        <v>27</v>
      </c>
      <c r="D9" s="1" t="s">
        <v>1</v>
      </c>
      <c r="E9" s="1" t="s">
        <v>2</v>
      </c>
      <c r="F9" s="1" t="s">
        <v>3</v>
      </c>
      <c r="G9" s="1" t="s">
        <v>4</v>
      </c>
      <c r="H9" s="1" t="s">
        <v>5</v>
      </c>
      <c r="I9" s="1" t="s">
        <v>6</v>
      </c>
      <c r="J9" s="1" t="s">
        <v>7</v>
      </c>
      <c r="K9" s="1" t="s">
        <v>8</v>
      </c>
      <c r="L9" s="1" t="s">
        <v>9</v>
      </c>
      <c r="M9" s="1" t="s">
        <v>10</v>
      </c>
      <c r="N9" s="1" t="s">
        <v>11</v>
      </c>
      <c r="O9" s="1" t="s">
        <v>12</v>
      </c>
      <c r="P9" s="1" t="s">
        <v>13</v>
      </c>
      <c r="Q9" s="1" t="s">
        <v>14</v>
      </c>
      <c r="R9" s="1" t="s">
        <v>15</v>
      </c>
      <c r="S9" s="1" t="s">
        <v>16</v>
      </c>
      <c r="T9" s="1" t="s">
        <v>17</v>
      </c>
      <c r="U9" s="1" t="s">
        <v>18</v>
      </c>
      <c r="V9" s="1" t="s">
        <v>19</v>
      </c>
      <c r="W9" s="1" t="s">
        <v>20</v>
      </c>
      <c r="X9" s="1" t="s">
        <v>21</v>
      </c>
      <c r="Y9" s="1" t="s">
        <v>22</v>
      </c>
      <c r="Z9" s="1" t="s">
        <v>29</v>
      </c>
      <c r="AA9" s="69" t="s">
        <v>23</v>
      </c>
      <c r="AB9" s="69" t="s">
        <v>24</v>
      </c>
      <c r="AC9" s="69" t="s">
        <v>25</v>
      </c>
      <c r="AD9" s="1" t="s">
        <v>54</v>
      </c>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row>
    <row r="10" spans="1:62" x14ac:dyDescent="0.35">
      <c r="A10" s="7">
        <v>2018</v>
      </c>
      <c r="B10" s="7" t="s">
        <v>106</v>
      </c>
      <c r="C10" s="6">
        <v>1</v>
      </c>
      <c r="D10" s="7">
        <v>275</v>
      </c>
      <c r="E10" s="7">
        <v>0</v>
      </c>
      <c r="F10" s="7">
        <v>275</v>
      </c>
      <c r="G10" s="4">
        <v>1.3</v>
      </c>
      <c r="H10" s="5">
        <v>4</v>
      </c>
      <c r="I10" s="3">
        <v>0</v>
      </c>
      <c r="J10" s="4">
        <v>0.67</v>
      </c>
      <c r="K10" s="5">
        <v>60</v>
      </c>
      <c r="L10" s="31">
        <v>6.5</v>
      </c>
      <c r="M10" s="8">
        <v>0.38600000000000001</v>
      </c>
      <c r="N10" s="3">
        <v>0</v>
      </c>
      <c r="O10" s="8">
        <v>0.1</v>
      </c>
      <c r="P10" s="8">
        <v>0.8</v>
      </c>
      <c r="Q10" s="11">
        <f>M10*(D10^0.75)</f>
        <v>26.066746296531068</v>
      </c>
      <c r="R10" s="11">
        <f>N10*Q10</f>
        <v>0</v>
      </c>
      <c r="S10" s="11">
        <f>(G10*(1.47+0.4*H10))</f>
        <v>3.9910000000000005</v>
      </c>
      <c r="T10" s="11">
        <f>0.1*Q10*I10</f>
        <v>0</v>
      </c>
      <c r="U10" s="11">
        <f>O10*Q10*J10</f>
        <v>1.7464720018675817</v>
      </c>
      <c r="V10" s="11">
        <f>22.02*(((D10/(P10*F10))^0.75)*(E10^1.097))</f>
        <v>0</v>
      </c>
      <c r="W10" s="11">
        <f>(1.123-(4.092*(10^-3)*K10)+(1.126*(10^-5)*(K10^2))-(25.4/K10))</f>
        <v>0.49468266666666677</v>
      </c>
      <c r="X10" s="11">
        <f>(1.164-(5.16*(10^-3)*K10)+(1.308*(10^-5)*(K10^2))-(37.4/K10))</f>
        <v>0.27815466666666655</v>
      </c>
      <c r="Y10" s="12">
        <f>(((Q10+R10+S10+T10+U10)/W10)+(V10/X10))/(K10/100)</f>
        <v>107.15360385377913</v>
      </c>
      <c r="Z10" s="12">
        <f>((Y10*(L10/100)*365)/55.65)</f>
        <v>45.682286638470977</v>
      </c>
      <c r="AA10" s="70">
        <f>(((5.4*D10)/500)/((100-K10)/100))</f>
        <v>7.4249999999999998</v>
      </c>
      <c r="AB10" s="70">
        <f>W10*18.45*K10/100</f>
        <v>5.4761371200000006</v>
      </c>
      <c r="AC10" s="70">
        <f>AA10/D10*100</f>
        <v>2.7</v>
      </c>
      <c r="AD10" s="22">
        <f>C10*Z10</f>
        <v>45.682286638470977</v>
      </c>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row>
    <row r="11" spans="1:62" x14ac:dyDescent="0.35">
      <c r="A11" s="7">
        <v>2018</v>
      </c>
      <c r="B11" s="3" t="s">
        <v>104</v>
      </c>
      <c r="C11" s="3">
        <v>1</v>
      </c>
      <c r="D11" s="8">
        <v>275</v>
      </c>
      <c r="E11" s="8">
        <v>0</v>
      </c>
      <c r="F11" s="8">
        <v>275</v>
      </c>
      <c r="G11" s="8">
        <v>0</v>
      </c>
      <c r="H11" s="10">
        <v>0</v>
      </c>
      <c r="I11" s="8">
        <v>1.37</v>
      </c>
      <c r="J11" s="8">
        <v>0</v>
      </c>
      <c r="K11" s="10">
        <v>55</v>
      </c>
      <c r="L11" s="32">
        <v>6.5</v>
      </c>
      <c r="M11" s="8">
        <v>0.32200000000000001</v>
      </c>
      <c r="N11" s="8">
        <v>0</v>
      </c>
      <c r="O11" s="8">
        <v>0</v>
      </c>
      <c r="P11" s="8">
        <v>1</v>
      </c>
      <c r="Q11" s="11">
        <f>M11*(D11^0.75)</f>
        <v>21.744798724049232</v>
      </c>
      <c r="R11" s="11">
        <f>N11*Q11</f>
        <v>0</v>
      </c>
      <c r="S11" s="11">
        <f>G11*(1.47+0.4*H11)</f>
        <v>0</v>
      </c>
      <c r="T11" s="11">
        <f>0.1*Q11*I11</f>
        <v>2.9790374251947451</v>
      </c>
      <c r="U11" s="11">
        <f>O11*Q11*J11</f>
        <v>0</v>
      </c>
      <c r="V11" s="11">
        <f>22.02*(((D11/(P11*F11))^0.75)*(E11^1.097))</f>
        <v>0</v>
      </c>
      <c r="W11" s="11">
        <f>(1.123-(4.092*(10^-3)*K11)+(1.126*(10^-5)*(K11^2))-(25.4/K11))</f>
        <v>0.47018331818181813</v>
      </c>
      <c r="X11" s="11">
        <f>(1.164-(5.16*(10^-3)*K11)+(1.308*(10^-5)*(K11^2))-(37.4/K11))</f>
        <v>0.23976699999999995</v>
      </c>
      <c r="Y11" s="12">
        <f>(((Q11+R11+S11+T11+U11)/W11)+(V11/X11))/(K11/100)</f>
        <v>95.606176620836294</v>
      </c>
      <c r="Z11" s="12">
        <f>((Y11*(L11/100)*365)/55.65)</f>
        <v>40.759326870248721</v>
      </c>
      <c r="AA11" s="70">
        <f>(D11^0.75)*((0.2444*AB11-0.0111*(AB11^2)-0.472)/AB11)</f>
        <v>6.2474186324471894</v>
      </c>
      <c r="AB11" s="70">
        <f>W11*18.45*K11/100</f>
        <v>4.7711852212499988</v>
      </c>
      <c r="AC11" s="70">
        <f>AA11/D11*100</f>
        <v>2.2717885936171598</v>
      </c>
      <c r="AD11" s="22">
        <f>C11*Z11</f>
        <v>40.759326870248721</v>
      </c>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row>
    <row r="12" spans="1:62" x14ac:dyDescent="0.35">
      <c r="A12" s="7">
        <v>2018</v>
      </c>
      <c r="B12" s="3" t="s">
        <v>107</v>
      </c>
      <c r="C12" s="3">
        <v>1</v>
      </c>
      <c r="D12" s="8">
        <v>275</v>
      </c>
      <c r="E12" s="8">
        <v>0</v>
      </c>
      <c r="F12" s="8">
        <v>275</v>
      </c>
      <c r="G12" s="8">
        <v>0</v>
      </c>
      <c r="H12" s="10">
        <v>0</v>
      </c>
      <c r="I12" s="8">
        <v>0</v>
      </c>
      <c r="J12" s="8">
        <v>0</v>
      </c>
      <c r="K12" s="10">
        <v>55</v>
      </c>
      <c r="L12" s="32">
        <v>6.5</v>
      </c>
      <c r="M12" s="8">
        <v>0.32200000000000001</v>
      </c>
      <c r="N12" s="8">
        <v>0.36</v>
      </c>
      <c r="O12" s="8">
        <v>0</v>
      </c>
      <c r="P12" s="8">
        <v>1.2</v>
      </c>
      <c r="Q12" s="11">
        <f>M12*(D12^0.75)</f>
        <v>21.744798724049232</v>
      </c>
      <c r="R12" s="11">
        <f>N12*Q12</f>
        <v>7.8281275406577233</v>
      </c>
      <c r="S12" s="11">
        <f>G12*(1.47+0.4*H12)</f>
        <v>0</v>
      </c>
      <c r="T12" s="11">
        <f>0.1*Q12*I12</f>
        <v>0</v>
      </c>
      <c r="U12" s="11">
        <f>O12*Q12*J12</f>
        <v>0</v>
      </c>
      <c r="V12" s="11">
        <f>22.02*(((D12/(P12*F12))^0.75)*(E12^1.097))</f>
        <v>0</v>
      </c>
      <c r="W12" s="11">
        <f>(1.123-(4.092*(10^-3)*K12)+(1.126*(10^-5)*(K12^2))-(25.4/K12))</f>
        <v>0.47018331818181813</v>
      </c>
      <c r="X12" s="11">
        <f>(1.164-(5.16*(10^-3)*K12)+(1.308*(10^-5)*(K12^2))-(37.4/K12))</f>
        <v>0.23976699999999995</v>
      </c>
      <c r="Y12" s="12">
        <f>(((Q12+R12+S12+T12+U12)/W12)+(V12/X12))/(K12/100)</f>
        <v>114.35743201788686</v>
      </c>
      <c r="Z12" s="12">
        <f>((Y12*(L12/100)*365)/55.65)</f>
        <v>48.753460460455813</v>
      </c>
      <c r="AA12" s="70">
        <f>(D12^0.75)*((0.0119*(AB12^2)+0.1938)/AB12)</f>
        <v>6.5771899384425048</v>
      </c>
      <c r="AB12" s="70">
        <f>W12*18.45*K12/100</f>
        <v>4.7711852212499988</v>
      </c>
      <c r="AC12" s="70">
        <f>AA12/D12*100</f>
        <v>2.3917054321609106</v>
      </c>
      <c r="AD12" s="22">
        <f>C12*Z12</f>
        <v>48.753460460455813</v>
      </c>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row>
    <row r="13" spans="1:62" s="51" customFormat="1" x14ac:dyDescent="0.35">
      <c r="A13" s="57"/>
      <c r="B13" s="58"/>
      <c r="C13" s="58"/>
      <c r="D13" s="59"/>
      <c r="E13" s="59"/>
      <c r="F13" s="59"/>
      <c r="G13" s="59"/>
      <c r="H13" s="60"/>
      <c r="I13" s="59"/>
      <c r="J13" s="59"/>
      <c r="K13" s="60"/>
      <c r="L13" s="61"/>
      <c r="M13" s="59"/>
      <c r="N13" s="59"/>
      <c r="O13" s="59"/>
      <c r="P13" s="59"/>
      <c r="Q13" s="59"/>
      <c r="R13" s="59"/>
      <c r="S13" s="59"/>
      <c r="T13" s="59"/>
      <c r="U13" s="59"/>
      <c r="V13" s="59"/>
      <c r="W13" s="59"/>
      <c r="X13" s="59"/>
      <c r="Y13" s="59"/>
      <c r="Z13" s="59"/>
      <c r="AA13" s="59"/>
      <c r="AB13" s="62"/>
      <c r="AC13" s="62"/>
      <c r="AD13" s="62"/>
      <c r="AE13" s="63"/>
    </row>
    <row r="14" spans="1:62" s="51" customFormat="1" x14ac:dyDescent="0.35">
      <c r="A14" s="64" t="s">
        <v>53</v>
      </c>
      <c r="B14" s="58"/>
      <c r="C14" s="58"/>
      <c r="D14" s="59"/>
      <c r="E14" s="59"/>
      <c r="F14" s="59"/>
      <c r="G14" s="59"/>
      <c r="H14" s="60"/>
      <c r="I14" s="59"/>
      <c r="J14" s="59"/>
      <c r="K14" s="60"/>
      <c r="L14" s="61"/>
      <c r="M14" s="59"/>
      <c r="N14" s="59"/>
      <c r="O14" s="59"/>
      <c r="P14" s="59"/>
      <c r="Q14" s="59"/>
      <c r="R14" s="59"/>
      <c r="S14" s="59"/>
      <c r="T14" s="59"/>
      <c r="U14" s="59"/>
      <c r="V14" s="59"/>
      <c r="W14" s="59"/>
      <c r="X14" s="59"/>
      <c r="Y14" s="59"/>
      <c r="Z14" s="59"/>
      <c r="AA14" s="59"/>
      <c r="AB14" s="62"/>
      <c r="AC14" s="62"/>
      <c r="AD14" s="62"/>
      <c r="AE14" s="63"/>
    </row>
    <row r="15" spans="1:62" s="51" customFormat="1" ht="46" customHeight="1" x14ac:dyDescent="0.35">
      <c r="A15" s="53" t="s">
        <v>70</v>
      </c>
      <c r="B15" s="54"/>
      <c r="C15" s="54"/>
      <c r="D15" s="54"/>
      <c r="E15" s="54"/>
      <c r="F15" s="54"/>
      <c r="G15" s="54"/>
      <c r="H15" s="54"/>
      <c r="I15" s="54"/>
      <c r="J15" s="54"/>
      <c r="K15" s="54"/>
      <c r="L15" s="54"/>
      <c r="M15" s="54"/>
      <c r="N15" s="54"/>
      <c r="O15" s="54"/>
      <c r="P15" s="54"/>
      <c r="Q15" s="54"/>
      <c r="R15" s="54"/>
      <c r="S15" s="59"/>
      <c r="T15" s="59"/>
      <c r="U15" s="59"/>
      <c r="V15" s="59"/>
      <c r="W15" s="59"/>
      <c r="X15" s="59"/>
      <c r="Y15" s="59"/>
      <c r="Z15" s="59"/>
      <c r="AA15" s="59"/>
      <c r="AB15" s="62"/>
      <c r="AC15" s="62"/>
      <c r="AD15" s="62"/>
      <c r="AE15" s="63"/>
    </row>
    <row r="16" spans="1:62" ht="55" x14ac:dyDescent="0.4">
      <c r="A16" s="1" t="s">
        <v>26</v>
      </c>
      <c r="B16" s="1" t="s">
        <v>55</v>
      </c>
      <c r="C16" s="1" t="s">
        <v>27</v>
      </c>
      <c r="D16" s="1" t="s">
        <v>1</v>
      </c>
      <c r="E16" s="1" t="s">
        <v>61</v>
      </c>
      <c r="F16" s="1" t="s">
        <v>62</v>
      </c>
      <c r="G16" s="1" t="s">
        <v>60</v>
      </c>
      <c r="H16" s="1" t="s">
        <v>68</v>
      </c>
      <c r="I16" s="1" t="s">
        <v>63</v>
      </c>
      <c r="J16" s="1" t="s">
        <v>65</v>
      </c>
      <c r="K16" s="1" t="s">
        <v>64</v>
      </c>
      <c r="L16" s="1" t="s">
        <v>66</v>
      </c>
      <c r="M16" s="1" t="s">
        <v>8</v>
      </c>
      <c r="N16" s="1" t="s">
        <v>9</v>
      </c>
      <c r="O16" s="1" t="s">
        <v>10</v>
      </c>
      <c r="P16" s="1" t="s">
        <v>11</v>
      </c>
      <c r="Q16" s="1" t="s">
        <v>58</v>
      </c>
      <c r="R16" s="1" t="s">
        <v>59</v>
      </c>
      <c r="S16" s="1" t="s">
        <v>12</v>
      </c>
      <c r="T16" s="1" t="s">
        <v>14</v>
      </c>
      <c r="U16" s="1" t="s">
        <v>15</v>
      </c>
      <c r="V16" s="1" t="s">
        <v>16</v>
      </c>
      <c r="W16" s="1" t="s">
        <v>67</v>
      </c>
      <c r="X16" s="1" t="s">
        <v>18</v>
      </c>
      <c r="Y16" s="1" t="s">
        <v>19</v>
      </c>
      <c r="Z16" s="1" t="s">
        <v>20</v>
      </c>
      <c r="AA16" s="1" t="s">
        <v>21</v>
      </c>
      <c r="AB16" s="1" t="s">
        <v>22</v>
      </c>
      <c r="AC16" s="1" t="s">
        <v>29</v>
      </c>
      <c r="AD16" s="1" t="s">
        <v>54</v>
      </c>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row>
    <row r="17" spans="1:86" x14ac:dyDescent="0.35">
      <c r="A17" s="7">
        <v>2018</v>
      </c>
      <c r="B17" s="7" t="s">
        <v>56</v>
      </c>
      <c r="C17" s="6">
        <v>1</v>
      </c>
      <c r="D17" s="7">
        <v>42.75</v>
      </c>
      <c r="E17" s="34">
        <v>0</v>
      </c>
      <c r="F17" s="34">
        <v>0</v>
      </c>
      <c r="G17" s="34">
        <v>0</v>
      </c>
      <c r="H17" s="4">
        <v>0.182</v>
      </c>
      <c r="I17" s="33">
        <v>4.5999999999999996</v>
      </c>
      <c r="J17" s="19">
        <v>1.2</v>
      </c>
      <c r="K17" s="19">
        <v>24</v>
      </c>
      <c r="L17" s="4">
        <v>0.78</v>
      </c>
      <c r="M17" s="7">
        <v>60</v>
      </c>
      <c r="N17" s="32">
        <v>6.5</v>
      </c>
      <c r="O17" s="8">
        <v>0.217</v>
      </c>
      <c r="P17" s="19">
        <v>1.0699999999999999E-2</v>
      </c>
      <c r="Q17" s="19">
        <v>2.1</v>
      </c>
      <c r="R17" s="19">
        <v>0.45</v>
      </c>
      <c r="S17" s="8">
        <v>7.6999999999999999E-2</v>
      </c>
      <c r="T17" s="11">
        <f>O17*(D17^0.75)</f>
        <v>3.6279544284068388</v>
      </c>
      <c r="U17" s="11">
        <f>P17*D17</f>
        <v>0.45742499999999997</v>
      </c>
      <c r="V17" s="11">
        <f>H17*I17</f>
        <v>0.83719999999999994</v>
      </c>
      <c r="W17" s="11">
        <f>(K17*J17)/365</f>
        <v>7.8904109589041094E-2</v>
      </c>
      <c r="X17" s="11">
        <f>S17*T17*L17</f>
        <v>0.21789494297011472</v>
      </c>
      <c r="Y17" s="11">
        <f>(G17*(Q17+(0.5*R17)*(E17+F17)))/365</f>
        <v>0</v>
      </c>
      <c r="Z17" s="11">
        <f>(1.123-(4.092*(10^-3)*M17)+(1.126*(10^-5)*(M17^2))-(25.4/M17))</f>
        <v>0.49468266666666677</v>
      </c>
      <c r="AA17" s="11">
        <f>(1.164-(5.16*(10^-3)*M17)+(1.308*(10^-5)*(M17^2))-(37.4/M17))</f>
        <v>0.27815466666666655</v>
      </c>
      <c r="AB17" s="12">
        <f>(((T17+U17+V17+X17)/Z17)+((W17+Y17)/AA17))/(M17/100)</f>
        <v>17.791880584371498</v>
      </c>
      <c r="AC17" s="12">
        <f>((AB17*(N17/100)*365)/55.65)</f>
        <v>7.5851278861493947</v>
      </c>
      <c r="AD17" s="22">
        <f>C17*AC17</f>
        <v>7.5851278861493947</v>
      </c>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row>
    <row r="18" spans="1:86" s="3" customFormat="1" ht="13" x14ac:dyDescent="0.3">
      <c r="A18" s="7">
        <v>2018</v>
      </c>
      <c r="B18" s="3" t="s">
        <v>57</v>
      </c>
      <c r="C18" s="3">
        <v>1</v>
      </c>
      <c r="D18" s="8">
        <v>15</v>
      </c>
      <c r="E18" s="19">
        <v>12.28</v>
      </c>
      <c r="F18" s="19">
        <v>25.7</v>
      </c>
      <c r="G18" s="8">
        <f>F18-E18</f>
        <v>13.42</v>
      </c>
      <c r="H18" s="8">
        <v>0</v>
      </c>
      <c r="I18" s="10">
        <v>0</v>
      </c>
      <c r="J18" s="19">
        <v>0.06</v>
      </c>
      <c r="K18" s="8">
        <v>0</v>
      </c>
      <c r="L18" s="8">
        <v>0</v>
      </c>
      <c r="M18" s="10">
        <v>60</v>
      </c>
      <c r="N18" s="32">
        <v>4.5</v>
      </c>
      <c r="O18" s="8">
        <v>0.23599999999999999</v>
      </c>
      <c r="P18" s="19">
        <v>1.0699999999999999E-2</v>
      </c>
      <c r="Q18" s="19">
        <v>2.5</v>
      </c>
      <c r="R18" s="19">
        <v>0.35</v>
      </c>
      <c r="S18" s="8">
        <v>0</v>
      </c>
      <c r="T18" s="11">
        <f>O18*(D18^0.75)</f>
        <v>1.7987899284673359</v>
      </c>
      <c r="U18" s="11">
        <f>P18*D18</f>
        <v>0.1605</v>
      </c>
      <c r="V18" s="11">
        <f>H18*I18</f>
        <v>0</v>
      </c>
      <c r="W18" s="11">
        <f>(K18*J18)/365</f>
        <v>0</v>
      </c>
      <c r="X18" s="11">
        <f>S18*T18*L18</f>
        <v>0</v>
      </c>
      <c r="Y18" s="11">
        <f>(G18*(Q18+(0.5*R18)*(E18+F18)))/365</f>
        <v>0.33629049315068493</v>
      </c>
      <c r="Z18" s="11">
        <f>(1.123-(4.092*(10^-3)*M18)+(1.126*(10^-5)*(M18^2))-(25.4/M18))</f>
        <v>0.49468266666666677</v>
      </c>
      <c r="AA18" s="11">
        <f>(1.164-(5.16*(10^-3)*M18)+(1.308*(10^-5)*(M18^2))-(37.4/M18))</f>
        <v>0.27815466666666655</v>
      </c>
      <c r="AB18" s="12">
        <f>(((T18+U18+V18+X18)/Z18)+((W18+Y18)/AA18))/(M18/100)</f>
        <v>8.6161766404478648</v>
      </c>
      <c r="AC18" s="12">
        <f>((AB18*(N18/100)*365)/55.65)</f>
        <v>2.5430494397009196</v>
      </c>
      <c r="AD18" s="22">
        <f>C18*AC18</f>
        <v>2.5430494397009196</v>
      </c>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row>
    <row r="19" spans="1:86" s="51" customFormat="1" x14ac:dyDescent="0.35">
      <c r="AD19" s="63"/>
    </row>
    <row r="20" spans="1:86" s="51" customFormat="1" x14ac:dyDescent="0.35">
      <c r="A20" s="50" t="s">
        <v>71</v>
      </c>
    </row>
    <row r="21" spans="1:86" s="51" customFormat="1" ht="28.5" customHeight="1" thickBot="1" x14ac:dyDescent="0.4">
      <c r="A21" s="53" t="s">
        <v>72</v>
      </c>
      <c r="B21" s="54"/>
      <c r="C21" s="54"/>
      <c r="D21" s="54"/>
      <c r="E21" s="54"/>
      <c r="F21" s="54"/>
      <c r="G21" s="54"/>
      <c r="H21" s="54"/>
      <c r="I21" s="54"/>
      <c r="J21" s="54"/>
      <c r="K21" s="54"/>
      <c r="L21" s="54"/>
      <c r="M21" s="54"/>
      <c r="N21" s="54"/>
      <c r="O21" s="54"/>
      <c r="P21" s="54"/>
      <c r="Q21" s="54"/>
      <c r="R21" s="54"/>
    </row>
    <row r="22" spans="1:86" s="3" customFormat="1" ht="14.5" customHeight="1" x14ac:dyDescent="0.3">
      <c r="A22" s="17"/>
      <c r="B22" s="17"/>
      <c r="C22" s="17"/>
      <c r="D22" s="17"/>
      <c r="E22" s="17"/>
      <c r="F22" s="17"/>
      <c r="G22" s="17"/>
      <c r="H22" s="18"/>
      <c r="I22" s="17"/>
      <c r="J22" s="17"/>
      <c r="K22" s="44" t="s">
        <v>46</v>
      </c>
      <c r="L22" s="45"/>
      <c r="M22" s="45"/>
      <c r="N22" s="45"/>
      <c r="O22" s="45"/>
      <c r="P22" s="45"/>
      <c r="Q22" s="45"/>
      <c r="R22" s="45"/>
      <c r="S22" s="46"/>
      <c r="T22" s="44" t="s">
        <v>31</v>
      </c>
      <c r="U22" s="45"/>
      <c r="V22" s="45"/>
      <c r="W22" s="45"/>
      <c r="X22" s="45"/>
      <c r="Y22" s="45"/>
      <c r="Z22" s="45"/>
      <c r="AA22" s="45"/>
      <c r="AB22" s="46"/>
      <c r="AC22" s="65"/>
      <c r="AD22" s="17"/>
      <c r="AE22" s="66"/>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row>
    <row r="23" spans="1:86" s="3" customFormat="1" ht="65.5" customHeight="1" thickBot="1" x14ac:dyDescent="0.35">
      <c r="A23" s="17" t="s">
        <v>26</v>
      </c>
      <c r="B23" s="1" t="s">
        <v>28</v>
      </c>
      <c r="C23" s="1" t="s">
        <v>27</v>
      </c>
      <c r="D23" s="1" t="s">
        <v>1</v>
      </c>
      <c r="E23" s="17" t="s">
        <v>30</v>
      </c>
      <c r="F23" s="1" t="s">
        <v>22</v>
      </c>
      <c r="G23" s="18" t="s">
        <v>77</v>
      </c>
      <c r="H23" s="35" t="s">
        <v>78</v>
      </c>
      <c r="I23" s="18" t="s">
        <v>41</v>
      </c>
      <c r="J23" s="18" t="s">
        <v>42</v>
      </c>
      <c r="K23" s="23" t="s">
        <v>32</v>
      </c>
      <c r="L23" s="24" t="s">
        <v>33</v>
      </c>
      <c r="M23" s="24" t="s">
        <v>34</v>
      </c>
      <c r="N23" s="24" t="s">
        <v>35</v>
      </c>
      <c r="O23" s="24" t="s">
        <v>36</v>
      </c>
      <c r="P23" s="24" t="s">
        <v>37</v>
      </c>
      <c r="Q23" s="24" t="s">
        <v>38</v>
      </c>
      <c r="R23" s="24" t="s">
        <v>39</v>
      </c>
      <c r="S23" s="25" t="s">
        <v>40</v>
      </c>
      <c r="T23" s="23" t="s">
        <v>32</v>
      </c>
      <c r="U23" s="24" t="s">
        <v>33</v>
      </c>
      <c r="V23" s="24" t="s">
        <v>34</v>
      </c>
      <c r="W23" s="24" t="s">
        <v>35</v>
      </c>
      <c r="X23" s="24" t="s">
        <v>36</v>
      </c>
      <c r="Y23" s="24" t="s">
        <v>37</v>
      </c>
      <c r="Z23" s="24" t="s">
        <v>38</v>
      </c>
      <c r="AA23" s="24" t="s">
        <v>39</v>
      </c>
      <c r="AB23" s="25" t="s">
        <v>40</v>
      </c>
      <c r="AC23" s="18" t="s">
        <v>79</v>
      </c>
      <c r="AD23" s="18" t="s">
        <v>43</v>
      </c>
      <c r="AE23" s="18" t="s">
        <v>80</v>
      </c>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row>
    <row r="24" spans="1:86" s="3" customFormat="1" ht="13" x14ac:dyDescent="0.3">
      <c r="A24" s="7">
        <v>2018</v>
      </c>
      <c r="B24" s="7" t="s">
        <v>56</v>
      </c>
      <c r="C24" s="6">
        <v>1</v>
      </c>
      <c r="D24" s="19">
        <v>275</v>
      </c>
      <c r="E24" s="7">
        <v>60</v>
      </c>
      <c r="F24" s="2">
        <v>107.1536</v>
      </c>
      <c r="G24" s="3">
        <v>0.04</v>
      </c>
      <c r="H24" s="3">
        <v>0.08</v>
      </c>
      <c r="I24" s="11">
        <f>(F24*(1-(E24/100))+(G24*F24))*((1-H24)/18.45)</f>
        <v>2.3509906384823851</v>
      </c>
      <c r="J24" s="19">
        <v>0.13</v>
      </c>
      <c r="K24" s="16">
        <v>0</v>
      </c>
      <c r="L24" s="16">
        <v>0</v>
      </c>
      <c r="M24" s="16">
        <v>0.01</v>
      </c>
      <c r="N24" s="16">
        <v>0</v>
      </c>
      <c r="O24" s="16">
        <v>0.84</v>
      </c>
      <c r="P24" s="16">
        <v>0.05</v>
      </c>
      <c r="Q24" s="16">
        <v>0</v>
      </c>
      <c r="R24" s="16">
        <v>0.06</v>
      </c>
      <c r="S24" s="20">
        <v>0.04</v>
      </c>
      <c r="T24" s="8">
        <v>78</v>
      </c>
      <c r="U24" s="8">
        <v>42</v>
      </c>
      <c r="V24" s="8">
        <v>4</v>
      </c>
      <c r="W24" s="8">
        <v>1.5</v>
      </c>
      <c r="X24" s="8">
        <v>1.5</v>
      </c>
      <c r="Y24" s="4">
        <v>0.5</v>
      </c>
      <c r="Z24" s="10">
        <v>10</v>
      </c>
      <c r="AA24" s="10">
        <v>10</v>
      </c>
      <c r="AB24" s="10">
        <v>1</v>
      </c>
      <c r="AC24" s="12">
        <f>(K24*T24+L24*U24+M24*V24+N24*W24+O24*X24+P24*Y24+Q24*Z24+R24*AA24+S24*AB24)/100</f>
        <v>1.9649999999999997E-2</v>
      </c>
      <c r="AD24" s="12">
        <f>(I24*365)*(J24*0.67*AC24)</f>
        <v>1.4686708460570954</v>
      </c>
      <c r="AE24" s="36">
        <f>AD24*C24</f>
        <v>1.4686708460570954</v>
      </c>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row>
    <row r="25" spans="1:86" s="51" customFormat="1" x14ac:dyDescent="0.35"/>
    <row r="26" spans="1:86" s="51" customFormat="1" ht="16.5" x14ac:dyDescent="0.45">
      <c r="A26" s="50" t="s">
        <v>86</v>
      </c>
    </row>
    <row r="27" spans="1:86" s="51" customFormat="1" ht="31.5" customHeight="1" thickBot="1" x14ac:dyDescent="0.4">
      <c r="A27" s="53" t="s">
        <v>87</v>
      </c>
      <c r="B27" s="54"/>
      <c r="C27" s="54"/>
      <c r="D27" s="54"/>
      <c r="E27" s="54"/>
      <c r="F27" s="54"/>
      <c r="G27" s="54"/>
      <c r="H27" s="54"/>
      <c r="I27" s="54"/>
      <c r="J27" s="54"/>
      <c r="K27" s="54"/>
      <c r="L27" s="54"/>
      <c r="M27" s="54"/>
      <c r="N27" s="54"/>
      <c r="O27" s="54"/>
      <c r="P27" s="54"/>
      <c r="Q27" s="54"/>
      <c r="R27" s="54"/>
    </row>
    <row r="28" spans="1:86" ht="14.5" customHeight="1" x14ac:dyDescent="0.35">
      <c r="A28" s="14"/>
      <c r="B28" s="14"/>
      <c r="C28" s="14"/>
      <c r="D28" s="14"/>
      <c r="E28" s="14"/>
      <c r="F28" s="14"/>
      <c r="G28" s="14"/>
      <c r="H28" s="14"/>
      <c r="I28" s="14"/>
      <c r="J28" s="14"/>
      <c r="K28" s="14"/>
      <c r="L28" s="14"/>
      <c r="M28" s="14"/>
      <c r="N28" s="39" t="s">
        <v>46</v>
      </c>
      <c r="O28" s="40"/>
      <c r="P28" s="40"/>
      <c r="Q28" s="40"/>
      <c r="R28" s="40"/>
      <c r="S28" s="40"/>
      <c r="T28" s="40"/>
      <c r="U28" s="40"/>
      <c r="V28" s="41"/>
      <c r="W28" s="47" t="s">
        <v>88</v>
      </c>
      <c r="X28" s="48"/>
      <c r="Y28" s="48"/>
      <c r="Z28" s="48"/>
      <c r="AA28" s="48"/>
      <c r="AB28" s="48"/>
      <c r="AC28" s="48"/>
      <c r="AD28" s="48"/>
      <c r="AE28" s="49"/>
      <c r="AF28" s="14"/>
      <c r="AG28" s="14"/>
      <c r="AH28" s="14"/>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row>
    <row r="29" spans="1:86" s="3" customFormat="1" ht="57" customHeight="1" thickBot="1" x14ac:dyDescent="0.45">
      <c r="A29" s="17" t="s">
        <v>26</v>
      </c>
      <c r="B29" s="1" t="s">
        <v>28</v>
      </c>
      <c r="C29" s="1" t="s">
        <v>27</v>
      </c>
      <c r="D29" s="1" t="s">
        <v>22</v>
      </c>
      <c r="E29" s="18" t="s">
        <v>73</v>
      </c>
      <c r="F29" s="18" t="s">
        <v>74</v>
      </c>
      <c r="G29" s="18" t="s">
        <v>83</v>
      </c>
      <c r="H29" s="18" t="s">
        <v>81</v>
      </c>
      <c r="I29" s="1" t="s">
        <v>82</v>
      </c>
      <c r="J29" s="17" t="s">
        <v>19</v>
      </c>
      <c r="K29" s="18" t="s">
        <v>101</v>
      </c>
      <c r="L29" s="17" t="s">
        <v>75</v>
      </c>
      <c r="M29" s="18" t="s">
        <v>76</v>
      </c>
      <c r="N29" s="23" t="s">
        <v>32</v>
      </c>
      <c r="O29" s="24" t="s">
        <v>33</v>
      </c>
      <c r="P29" s="24" t="s">
        <v>34</v>
      </c>
      <c r="Q29" s="24" t="s">
        <v>35</v>
      </c>
      <c r="R29" s="24" t="s">
        <v>36</v>
      </c>
      <c r="S29" s="24" t="s">
        <v>37</v>
      </c>
      <c r="T29" s="24" t="s">
        <v>38</v>
      </c>
      <c r="U29" s="24" t="s">
        <v>39</v>
      </c>
      <c r="V29" s="25" t="s">
        <v>40</v>
      </c>
      <c r="W29" s="23" t="s">
        <v>32</v>
      </c>
      <c r="X29" s="24" t="s">
        <v>33</v>
      </c>
      <c r="Y29" s="24" t="s">
        <v>34</v>
      </c>
      <c r="Z29" s="24" t="s">
        <v>35</v>
      </c>
      <c r="AA29" s="24" t="s">
        <v>36</v>
      </c>
      <c r="AB29" s="24" t="s">
        <v>37</v>
      </c>
      <c r="AC29" s="24" t="s">
        <v>38</v>
      </c>
      <c r="AD29" s="24" t="s">
        <v>39</v>
      </c>
      <c r="AE29" s="25" t="s">
        <v>40</v>
      </c>
      <c r="AF29" s="18" t="s">
        <v>90</v>
      </c>
      <c r="AG29" s="17" t="s">
        <v>0</v>
      </c>
      <c r="AH29" s="18" t="s">
        <v>85</v>
      </c>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row>
    <row r="30" spans="1:86" s="3" customFormat="1" ht="13" x14ac:dyDescent="0.3">
      <c r="A30" s="19">
        <v>2018</v>
      </c>
      <c r="B30" s="7" t="s">
        <v>56</v>
      </c>
      <c r="C30" s="6">
        <v>1</v>
      </c>
      <c r="D30" s="19">
        <v>107.1536</v>
      </c>
      <c r="E30" s="13">
        <v>11.155285702992407</v>
      </c>
      <c r="F30" s="11">
        <f>(D30/18.45)*((E30/100)/6.25)</f>
        <v>0.10365996939656734</v>
      </c>
      <c r="G30" s="2">
        <v>1.3</v>
      </c>
      <c r="H30" s="19">
        <v>3.5</v>
      </c>
      <c r="I30" s="2">
        <v>0.02</v>
      </c>
      <c r="J30" s="11">
        <v>0</v>
      </c>
      <c r="K30" s="11">
        <f>((G30*(H30/100))/6.38)+((I30*(268-((7.03*J30)/I30)))/(1000*6.25))</f>
        <v>7.9892614420062694E-3</v>
      </c>
      <c r="L30" s="37">
        <f>K30/F30</f>
        <v>7.7071809769131874E-2</v>
      </c>
      <c r="M30" s="11">
        <f>F30*(1-L30)*365</f>
        <v>34.919808403414791</v>
      </c>
      <c r="N30" s="20">
        <f t="shared" ref="N30:V30" si="0">K24</f>
        <v>0</v>
      </c>
      <c r="O30" s="20">
        <f t="shared" si="0"/>
        <v>0</v>
      </c>
      <c r="P30" s="20">
        <f t="shared" si="0"/>
        <v>0.01</v>
      </c>
      <c r="Q30" s="20">
        <f t="shared" si="0"/>
        <v>0</v>
      </c>
      <c r="R30" s="20">
        <f t="shared" si="0"/>
        <v>0.84</v>
      </c>
      <c r="S30" s="20">
        <f t="shared" si="0"/>
        <v>0.05</v>
      </c>
      <c r="T30" s="20">
        <f t="shared" si="0"/>
        <v>0</v>
      </c>
      <c r="U30" s="20">
        <f t="shared" si="0"/>
        <v>0.06</v>
      </c>
      <c r="V30" s="20">
        <f t="shared" si="0"/>
        <v>0.04</v>
      </c>
      <c r="W30" s="19">
        <v>0</v>
      </c>
      <c r="X30" s="19">
        <v>5.0000000000000001E-3</v>
      </c>
      <c r="Y30" s="19">
        <v>5.0000000000000001E-3</v>
      </c>
      <c r="Z30" s="19">
        <v>0.02</v>
      </c>
      <c r="AA30" s="19">
        <v>0.02</v>
      </c>
      <c r="AB30" s="19">
        <v>0</v>
      </c>
      <c r="AC30" s="19">
        <v>0</v>
      </c>
      <c r="AD30" s="19">
        <v>0</v>
      </c>
      <c r="AE30" s="19">
        <v>0</v>
      </c>
      <c r="AF30" s="22">
        <f>M30*(N30*W30+O30*X30+P30*Y30+Q30*Z30+S30*AB30+T30*AC30+AD30*U30+V30*AE30)*(44/28)</f>
        <v>2.7436992316968766E-3</v>
      </c>
      <c r="AG30" s="21">
        <v>1</v>
      </c>
      <c r="AH30" s="12">
        <f>AF30*AG30</f>
        <v>2.7436992316968766E-3</v>
      </c>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row>
    <row r="31" spans="1:86" s="51" customFormat="1" x14ac:dyDescent="0.35"/>
    <row r="32" spans="1:86" s="51" customFormat="1" x14ac:dyDescent="0.35"/>
    <row r="33" spans="1:86" s="51" customFormat="1" ht="16.5" x14ac:dyDescent="0.45">
      <c r="A33" s="50" t="s">
        <v>89</v>
      </c>
    </row>
    <row r="34" spans="1:86" s="51" customFormat="1" ht="67.5" customHeight="1" thickBot="1" x14ac:dyDescent="0.4">
      <c r="A34" s="52" t="s">
        <v>93</v>
      </c>
      <c r="B34" s="67"/>
      <c r="C34" s="67"/>
      <c r="D34" s="67"/>
      <c r="E34" s="67"/>
      <c r="F34" s="67"/>
      <c r="G34" s="67"/>
      <c r="H34" s="67"/>
      <c r="I34" s="67"/>
      <c r="J34" s="67"/>
      <c r="K34" s="67"/>
      <c r="L34" s="67"/>
      <c r="M34" s="67"/>
      <c r="N34" s="67"/>
      <c r="O34" s="67"/>
      <c r="P34" s="67"/>
      <c r="Q34" s="67"/>
      <c r="R34" s="67"/>
    </row>
    <row r="35" spans="1:86" x14ac:dyDescent="0.35">
      <c r="A35" s="14"/>
      <c r="B35" s="14"/>
      <c r="C35" s="14"/>
      <c r="D35" s="14"/>
      <c r="E35" s="14"/>
      <c r="F35" s="14"/>
      <c r="G35" s="14"/>
      <c r="H35" s="14"/>
      <c r="I35" s="14"/>
      <c r="J35" s="14"/>
      <c r="K35" s="14"/>
      <c r="L35" s="14"/>
      <c r="M35" s="14"/>
      <c r="N35" s="39" t="s">
        <v>46</v>
      </c>
      <c r="O35" s="40"/>
      <c r="P35" s="40"/>
      <c r="Q35" s="40"/>
      <c r="R35" s="40"/>
      <c r="S35" s="40"/>
      <c r="T35" s="40"/>
      <c r="U35" s="40"/>
      <c r="V35" s="41"/>
      <c r="W35" s="42" t="s">
        <v>47</v>
      </c>
      <c r="X35" s="43"/>
      <c r="Y35" s="43"/>
      <c r="Z35" s="43"/>
      <c r="AA35" s="43"/>
      <c r="AB35" s="43"/>
      <c r="AC35" s="43"/>
      <c r="AD35" s="43"/>
      <c r="AE35" s="43"/>
      <c r="AF35" s="14"/>
      <c r="AG35" s="14"/>
      <c r="AH35" s="14"/>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row>
    <row r="36" spans="1:86" ht="70.5" customHeight="1" thickBot="1" x14ac:dyDescent="0.45">
      <c r="A36" s="17" t="s">
        <v>26</v>
      </c>
      <c r="B36" s="1" t="s">
        <v>28</v>
      </c>
      <c r="C36" s="1" t="s">
        <v>27</v>
      </c>
      <c r="D36" s="1" t="s">
        <v>22</v>
      </c>
      <c r="E36" s="14" t="s">
        <v>44</v>
      </c>
      <c r="F36" s="14" t="s">
        <v>45</v>
      </c>
      <c r="G36" s="18" t="s">
        <v>83</v>
      </c>
      <c r="H36" s="18" t="s">
        <v>81</v>
      </c>
      <c r="I36" s="1" t="s">
        <v>82</v>
      </c>
      <c r="J36" s="17" t="s">
        <v>19</v>
      </c>
      <c r="K36" s="18" t="s">
        <v>101</v>
      </c>
      <c r="L36" s="17" t="s">
        <v>75</v>
      </c>
      <c r="M36" s="18" t="s">
        <v>76</v>
      </c>
      <c r="N36" s="23" t="s">
        <v>32</v>
      </c>
      <c r="O36" s="24" t="s">
        <v>33</v>
      </c>
      <c r="P36" s="24" t="s">
        <v>34</v>
      </c>
      <c r="Q36" s="24" t="s">
        <v>35</v>
      </c>
      <c r="R36" s="24" t="s">
        <v>36</v>
      </c>
      <c r="S36" s="24" t="s">
        <v>37</v>
      </c>
      <c r="T36" s="24" t="s">
        <v>38</v>
      </c>
      <c r="U36" s="24" t="s">
        <v>39</v>
      </c>
      <c r="V36" s="25" t="s">
        <v>40</v>
      </c>
      <c r="W36" s="23" t="s">
        <v>32</v>
      </c>
      <c r="X36" s="24" t="s">
        <v>33</v>
      </c>
      <c r="Y36" s="24" t="s">
        <v>34</v>
      </c>
      <c r="Z36" s="24" t="s">
        <v>35</v>
      </c>
      <c r="AA36" s="24" t="s">
        <v>36</v>
      </c>
      <c r="AB36" s="24" t="s">
        <v>37</v>
      </c>
      <c r="AC36" s="24" t="s">
        <v>38</v>
      </c>
      <c r="AD36" s="24" t="s">
        <v>39</v>
      </c>
      <c r="AE36" s="25" t="s">
        <v>40</v>
      </c>
      <c r="AF36" s="18" t="s">
        <v>91</v>
      </c>
      <c r="AG36" s="18" t="s">
        <v>27</v>
      </c>
      <c r="AH36" s="18" t="s">
        <v>92</v>
      </c>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row>
    <row r="37" spans="1:86" s="3" customFormat="1" ht="13" x14ac:dyDescent="0.3">
      <c r="A37" s="19">
        <v>2018</v>
      </c>
      <c r="B37" s="7" t="s">
        <v>56</v>
      </c>
      <c r="C37" s="6">
        <v>1</v>
      </c>
      <c r="D37" s="19">
        <v>107.1536</v>
      </c>
      <c r="E37" s="13">
        <v>11.155285702992407</v>
      </c>
      <c r="F37" s="11">
        <f>(D37/18.45)*((E37/100)/6.25)</f>
        <v>0.10365996939656734</v>
      </c>
      <c r="G37" s="2">
        <v>1.3</v>
      </c>
      <c r="H37" s="19">
        <v>3.5</v>
      </c>
      <c r="I37" s="2">
        <v>0.02</v>
      </c>
      <c r="J37" s="11">
        <v>0</v>
      </c>
      <c r="K37" s="11">
        <f>((G10*(H37/100))/6.38)+((I37*(268-(7.03*J37)/I37))/(1000*6.25))</f>
        <v>7.9892614420062694E-3</v>
      </c>
      <c r="L37" s="37">
        <f>K37/F37</f>
        <v>7.7071809769131874E-2</v>
      </c>
      <c r="M37" s="11">
        <f>F37*(1-L37)*365</f>
        <v>34.919808403414791</v>
      </c>
      <c r="N37" s="20">
        <f t="shared" ref="N37:V37" si="1">N30</f>
        <v>0</v>
      </c>
      <c r="O37" s="20">
        <f t="shared" si="1"/>
        <v>0</v>
      </c>
      <c r="P37" s="20">
        <f t="shared" si="1"/>
        <v>0.01</v>
      </c>
      <c r="Q37" s="20">
        <f t="shared" si="1"/>
        <v>0</v>
      </c>
      <c r="R37" s="20">
        <f t="shared" si="1"/>
        <v>0.84</v>
      </c>
      <c r="S37" s="20">
        <f t="shared" si="1"/>
        <v>0.05</v>
      </c>
      <c r="T37" s="20">
        <f t="shared" si="1"/>
        <v>0</v>
      </c>
      <c r="U37" s="20">
        <f t="shared" si="1"/>
        <v>0.06</v>
      </c>
      <c r="V37" s="20">
        <f t="shared" si="1"/>
        <v>0.04</v>
      </c>
      <c r="W37" s="19">
        <f>35/100</f>
        <v>0.35</v>
      </c>
      <c r="X37" s="19">
        <f>40/100</f>
        <v>0.4</v>
      </c>
      <c r="Y37" s="19">
        <f>30/100</f>
        <v>0.3</v>
      </c>
      <c r="Z37" s="19">
        <f>20/100</f>
        <v>0.2</v>
      </c>
      <c r="AA37" s="19">
        <f>20/100</f>
        <v>0.2</v>
      </c>
      <c r="AB37" s="19">
        <f>7/100</f>
        <v>7.0000000000000007E-2</v>
      </c>
      <c r="AC37" s="19">
        <v>0</v>
      </c>
      <c r="AD37" s="19">
        <v>0</v>
      </c>
      <c r="AE37" s="3">
        <v>0</v>
      </c>
      <c r="AF37" s="19">
        <v>0.01</v>
      </c>
      <c r="AG37" s="19">
        <v>1</v>
      </c>
      <c r="AH37" s="38">
        <f>M37*(N37*W37+O37*X37+P37*Y37+Q37*Z37+S37*AB37+T37*AC37+U37*AD37+V37*AE37)*AG37*AF37*(44/28)</f>
        <v>3.5668090012059401E-3</v>
      </c>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row>
    <row r="38" spans="1:86" s="51" customFormat="1" x14ac:dyDescent="0.35"/>
    <row r="39" spans="1:86" s="51" customFormat="1" x14ac:dyDescent="0.35"/>
    <row r="40" spans="1:86" s="51" customFormat="1" ht="16.5" x14ac:dyDescent="0.45">
      <c r="A40" s="50" t="s">
        <v>94</v>
      </c>
    </row>
    <row r="41" spans="1:86" s="51" customFormat="1" x14ac:dyDescent="0.35"/>
    <row r="42" spans="1:86" ht="94.5" x14ac:dyDescent="0.45">
      <c r="A42" s="14" t="s">
        <v>26</v>
      </c>
      <c r="B42" s="1" t="s">
        <v>28</v>
      </c>
      <c r="C42" s="1" t="s">
        <v>27</v>
      </c>
      <c r="D42" s="18" t="s">
        <v>76</v>
      </c>
      <c r="E42" s="18" t="s">
        <v>95</v>
      </c>
      <c r="F42" s="15" t="s">
        <v>84</v>
      </c>
      <c r="G42" s="18" t="s">
        <v>96</v>
      </c>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row>
    <row r="43" spans="1:86" x14ac:dyDescent="0.35">
      <c r="A43" s="27">
        <v>2018</v>
      </c>
      <c r="B43" s="7" t="s">
        <v>56</v>
      </c>
      <c r="C43" s="6">
        <v>1</v>
      </c>
      <c r="D43" s="29">
        <v>34.919809999999998</v>
      </c>
      <c r="E43" s="26">
        <v>0.84</v>
      </c>
      <c r="F43" s="28">
        <v>0.02</v>
      </c>
      <c r="G43" s="30">
        <f>C43*D43*(E43*F43)*(44/28)</f>
        <v>0.92188298399999991</v>
      </c>
      <c r="H43" s="51"/>
      <c r="I43" s="51"/>
      <c r="J43" s="51"/>
      <c r="K43" s="71"/>
      <c r="L43" s="7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row>
    <row r="44" spans="1:86" s="51" customFormat="1" x14ac:dyDescent="0.35"/>
    <row r="45" spans="1:86" s="51" customFormat="1" ht="16.5" x14ac:dyDescent="0.45">
      <c r="A45" s="50" t="s">
        <v>97</v>
      </c>
    </row>
    <row r="46" spans="1:86" s="51" customFormat="1" ht="42.5" customHeight="1" x14ac:dyDescent="0.35">
      <c r="A46" s="52" t="s">
        <v>102</v>
      </c>
      <c r="B46" s="52"/>
      <c r="C46" s="52"/>
      <c r="D46" s="52"/>
      <c r="E46" s="52"/>
      <c r="F46" s="52"/>
      <c r="G46" s="52"/>
      <c r="H46" s="52"/>
      <c r="I46" s="52"/>
      <c r="J46" s="52"/>
      <c r="K46" s="52"/>
      <c r="L46" s="68"/>
      <c r="M46" s="68"/>
      <c r="N46" s="68"/>
      <c r="O46" s="68"/>
      <c r="P46" s="68"/>
      <c r="Q46" s="68"/>
      <c r="R46" s="68"/>
    </row>
    <row r="47" spans="1:86" ht="198" x14ac:dyDescent="0.4">
      <c r="A47" s="14" t="s">
        <v>26</v>
      </c>
      <c r="B47" s="1" t="s">
        <v>28</v>
      </c>
      <c r="C47" s="1" t="s">
        <v>27</v>
      </c>
      <c r="D47" s="18" t="s">
        <v>76</v>
      </c>
      <c r="E47" s="18" t="s">
        <v>95</v>
      </c>
      <c r="F47" s="17" t="s">
        <v>48</v>
      </c>
      <c r="G47" s="18" t="s">
        <v>91</v>
      </c>
      <c r="H47" s="15" t="s">
        <v>98</v>
      </c>
      <c r="I47" s="18" t="s">
        <v>49</v>
      </c>
      <c r="J47" s="18" t="s">
        <v>99</v>
      </c>
      <c r="K47" s="18" t="s">
        <v>100</v>
      </c>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row>
    <row r="48" spans="1:86" x14ac:dyDescent="0.35">
      <c r="A48" s="27">
        <v>2018</v>
      </c>
      <c r="B48" s="7" t="s">
        <v>56</v>
      </c>
      <c r="C48" s="6">
        <v>1</v>
      </c>
      <c r="D48" s="29">
        <v>34.919809999999998</v>
      </c>
      <c r="E48" s="26">
        <v>0.84</v>
      </c>
      <c r="F48" s="9">
        <v>0.2</v>
      </c>
      <c r="G48" s="9">
        <v>0.01</v>
      </c>
      <c r="H48" s="9">
        <v>7.4999999999999997E-3</v>
      </c>
      <c r="I48" s="9">
        <v>0.3</v>
      </c>
      <c r="J48" s="30">
        <f>D48*E48*F48*G48*(44/28)*C48</f>
        <v>9.2188298400000007E-2</v>
      </c>
      <c r="K48" s="30">
        <f>D48*(E48*I48)*H48*(44/28)*C48</f>
        <v>0.10371183569999999</v>
      </c>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row>
    <row r="49" s="51" customFormat="1" x14ac:dyDescent="0.35"/>
    <row r="50" s="51" customFormat="1" x14ac:dyDescent="0.35"/>
    <row r="51" s="51" customFormat="1" x14ac:dyDescent="0.35"/>
    <row r="52" s="51" customFormat="1" x14ac:dyDescent="0.35"/>
    <row r="53" s="51" customFormat="1" x14ac:dyDescent="0.35"/>
    <row r="54" s="51" customFormat="1" x14ac:dyDescent="0.35"/>
    <row r="55" s="51" customFormat="1" x14ac:dyDescent="0.35"/>
    <row r="56" s="51" customFormat="1" x14ac:dyDescent="0.35"/>
    <row r="57" s="51" customFormat="1" x14ac:dyDescent="0.35"/>
    <row r="58" s="51" customFormat="1" x14ac:dyDescent="0.35"/>
    <row r="59" s="51" customFormat="1" x14ac:dyDescent="0.35"/>
    <row r="60" s="51" customFormat="1" x14ac:dyDescent="0.35"/>
    <row r="61" s="51" customFormat="1" x14ac:dyDescent="0.35"/>
    <row r="62" s="51" customFormat="1" x14ac:dyDescent="0.35"/>
    <row r="63" s="51" customFormat="1" x14ac:dyDescent="0.35"/>
    <row r="64" s="51" customFormat="1" x14ac:dyDescent="0.35"/>
    <row r="65" s="51" customFormat="1" x14ac:dyDescent="0.35"/>
    <row r="66" s="51" customFormat="1" x14ac:dyDescent="0.35"/>
    <row r="67" s="51" customFormat="1" x14ac:dyDescent="0.35"/>
    <row r="68" s="51" customFormat="1" x14ac:dyDescent="0.35"/>
    <row r="69" s="51" customFormat="1" x14ac:dyDescent="0.35"/>
  </sheetData>
  <mergeCells count="14">
    <mergeCell ref="N35:V35"/>
    <mergeCell ref="W35:AE35"/>
    <mergeCell ref="A46:K46"/>
    <mergeCell ref="A34:R34"/>
    <mergeCell ref="A2:R2"/>
    <mergeCell ref="A5:R5"/>
    <mergeCell ref="A8:R8"/>
    <mergeCell ref="A15:R15"/>
    <mergeCell ref="A21:R21"/>
    <mergeCell ref="K22:S22"/>
    <mergeCell ref="T22:AB22"/>
    <mergeCell ref="A27:R27"/>
    <mergeCell ref="N28:V28"/>
    <mergeCell ref="W28:AE2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IPCC equations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AWilkes</dc:creator>
  <cp:lastModifiedBy>AWilkes</cp:lastModifiedBy>
  <dcterms:created xsi:type="dcterms:W3CDTF">2019-05-03T06:59:22Z</dcterms:created>
  <dcterms:modified xsi:type="dcterms:W3CDTF">2019-07-31T09:41:32Z</dcterms:modified>
</cp:coreProperties>
</file>